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elk\Documents\Invest\Aktien\Tools\DIY Tools\"/>
    </mc:Choice>
  </mc:AlternateContent>
  <bookViews>
    <workbookView xWindow="0" yWindow="0" windowWidth="19200" windowHeight="6730"/>
  </bookViews>
  <sheets>
    <sheet name="SOTP" sheetId="1" r:id="rId1"/>
  </sheets>
  <externalReferences>
    <externalReference r:id="rId2"/>
  </externalReferences>
  <definedNames>
    <definedName name="Fin_Operating_Segment_History">'[1]Segment History'!$B$6:$F$9,'[1]Segment History'!$H$6:$L$9,'[1]Segment History'!$B$14:$F$17,'[1]Segment History'!$H$14:$L$17</definedName>
    <definedName name="MBD">'[1]Unearned Revenue'!#REF!</definedName>
    <definedName name="MBDPercent">'[1]Unearned Revenue'!#REF!</definedName>
    <definedName name="OpInc_table">#REF!</definedName>
    <definedName name="PreEarnings_GarphValues">#REF!,#REF!,#REF!,#REF!,#REF!,#REF!,#REF!,#REF!</definedName>
    <definedName name="Rev_table">#REF!</definedName>
    <definedName name="SegmentRevenue_GrossMargin">#REF!</definedName>
    <definedName name="SROI">#REF!</definedName>
    <definedName name="STPercent">'[1]Unearned Revenue'!#REF!</definedName>
    <definedName name="TableHead">#REF!</definedName>
    <definedName name="Yearly_Income_Statements">'[1]Yearly Income Statements'!$D$6:$W$27,'[1]Yearly Income Statements'!#REF!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N20" i="1"/>
  <c r="O20" i="1"/>
  <c r="F19" i="1" l="1"/>
  <c r="J19" i="1"/>
  <c r="D20" i="1" l="1"/>
  <c r="I15" i="1"/>
  <c r="I16" i="1"/>
  <c r="D19" i="1"/>
  <c r="G15" i="1"/>
  <c r="G16" i="1"/>
  <c r="F62" i="1"/>
  <c r="F57" i="1"/>
  <c r="F55" i="1"/>
  <c r="F53" i="1"/>
  <c r="D25" i="1"/>
  <c r="E19" i="1"/>
  <c r="G19" i="1" s="1"/>
  <c r="F15" i="1" l="1"/>
  <c r="F16" i="1"/>
  <c r="F14" i="1"/>
  <c r="F13" i="1"/>
  <c r="F20" i="1" s="1"/>
  <c r="J16" i="1"/>
  <c r="J15" i="1"/>
  <c r="I19" i="1"/>
  <c r="G57" i="1"/>
  <c r="F68" i="1"/>
  <c r="G68" i="1"/>
  <c r="E68" i="1"/>
  <c r="E57" i="1"/>
  <c r="G56" i="1"/>
  <c r="E56" i="1"/>
  <c r="H44" i="1"/>
  <c r="D44" i="1"/>
  <c r="H43" i="1"/>
  <c r="D43" i="1"/>
  <c r="H42" i="1"/>
  <c r="D42" i="1"/>
  <c r="H41" i="1"/>
  <c r="D41" i="1"/>
  <c r="F40" i="1"/>
  <c r="B40" i="1"/>
  <c r="H36" i="1"/>
  <c r="D36" i="1"/>
  <c r="H35" i="1"/>
  <c r="D35" i="1"/>
  <c r="H34" i="1"/>
  <c r="D34" i="1"/>
  <c r="H33" i="1"/>
  <c r="D33" i="1"/>
  <c r="F32" i="1"/>
  <c r="B32" i="1"/>
  <c r="H28" i="1"/>
  <c r="D28" i="1"/>
  <c r="H27" i="1"/>
  <c r="D27" i="1"/>
  <c r="H26" i="1"/>
  <c r="D26" i="1"/>
  <c r="D30" i="1" s="1"/>
  <c r="N13" i="1" s="1"/>
  <c r="H25" i="1"/>
  <c r="F24" i="1"/>
  <c r="B24" i="1"/>
  <c r="D63" i="1"/>
  <c r="O13" i="1" l="1"/>
  <c r="M13" i="1"/>
  <c r="H46" i="1"/>
  <c r="D46" i="1"/>
  <c r="N15" i="1" s="1"/>
  <c r="H38" i="1"/>
  <c r="D38" i="1"/>
  <c r="N14" i="1" s="1"/>
  <c r="H30" i="1"/>
  <c r="N16" i="1" s="1"/>
  <c r="D8" i="1"/>
  <c r="M15" i="1" l="1"/>
  <c r="P15" i="1" s="1"/>
  <c r="O15" i="1"/>
  <c r="R15" i="1" s="1"/>
  <c r="O14" i="1"/>
  <c r="M14" i="1"/>
  <c r="Q15" i="1"/>
  <c r="T15" i="1" s="1"/>
  <c r="O16" i="1"/>
  <c r="R16" i="1" s="1"/>
  <c r="Q16" i="1"/>
  <c r="T16" i="1" s="1"/>
  <c r="M16" i="1"/>
  <c r="P16" i="1" s="1"/>
  <c r="D58" i="1"/>
  <c r="D56" i="1"/>
  <c r="D55" i="1"/>
  <c r="D54" i="1"/>
  <c r="D53" i="1"/>
  <c r="D52" i="1"/>
  <c r="C19" i="1"/>
  <c r="D57" i="1"/>
  <c r="C13" i="1"/>
  <c r="C14" i="1" s="1"/>
  <c r="C15" i="1" s="1"/>
  <c r="C16" i="1" s="1"/>
  <c r="E62" i="1" l="1"/>
  <c r="G62" i="1"/>
  <c r="U15" i="1" l="1"/>
  <c r="U16" i="1"/>
  <c r="S16" i="1"/>
  <c r="S15" i="1"/>
  <c r="E53" i="1"/>
  <c r="G53" i="1"/>
  <c r="E55" i="1"/>
  <c r="G55" i="1"/>
  <c r="I14" i="1"/>
  <c r="J14" i="1" s="1"/>
  <c r="I13" i="1"/>
  <c r="J13" i="1" l="1"/>
  <c r="R13" i="1" s="1"/>
  <c r="U13" i="1" s="1"/>
  <c r="I20" i="1"/>
  <c r="P14" i="1"/>
  <c r="S14" i="1" s="1"/>
  <c r="Q14" i="1"/>
  <c r="R14" i="1"/>
  <c r="U14" i="1" s="1"/>
  <c r="T14" i="1"/>
  <c r="G14" i="1"/>
  <c r="J20" i="1" l="1"/>
  <c r="K13" i="1"/>
  <c r="K20" i="1" s="1"/>
  <c r="K15" i="1"/>
  <c r="K16" i="1"/>
  <c r="P13" i="1"/>
  <c r="K14" i="1"/>
  <c r="Q13" i="1"/>
  <c r="T13" i="1" s="1"/>
  <c r="T20" i="1" s="1"/>
  <c r="U20" i="1"/>
  <c r="P20" i="1"/>
  <c r="E52" i="1" s="1"/>
  <c r="E54" i="1" s="1"/>
  <c r="E58" i="1" s="1"/>
  <c r="E63" i="1" s="1"/>
  <c r="E64" i="1" s="1"/>
  <c r="E70" i="1" s="1"/>
  <c r="S13" i="1"/>
  <c r="S20" i="1" s="1"/>
  <c r="R20" i="1"/>
  <c r="G52" i="1" s="1"/>
  <c r="G54" i="1" s="1"/>
  <c r="G58" i="1" s="1"/>
  <c r="G63" i="1" s="1"/>
  <c r="G69" i="1" s="1"/>
  <c r="E20" i="1"/>
  <c r="G13" i="1"/>
  <c r="Q20" i="1" l="1"/>
  <c r="F52" i="1" s="1"/>
  <c r="F54" i="1" s="1"/>
  <c r="F58" i="1" s="1"/>
  <c r="F63" i="1" s="1"/>
  <c r="F64" i="1" s="1"/>
  <c r="F70" i="1" s="1"/>
  <c r="E69" i="1"/>
  <c r="G64" i="1"/>
  <c r="G70" i="1" s="1"/>
  <c r="F69" i="1" l="1"/>
  <c r="J6" i="1" s="1"/>
  <c r="E6" i="1"/>
  <c r="G6" i="1" l="1"/>
  <c r="H6" i="1"/>
</calcChain>
</file>

<file path=xl/comments1.xml><?xml version="1.0" encoding="utf-8"?>
<comments xmlns="http://schemas.openxmlformats.org/spreadsheetml/2006/main">
  <authors>
    <author>Axel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>Margin of Safety - Sicherheitsmarge</t>
        </r>
      </text>
    </comment>
  </commentList>
</comments>
</file>

<file path=xl/sharedStrings.xml><?xml version="1.0" encoding="utf-8"?>
<sst xmlns="http://schemas.openxmlformats.org/spreadsheetml/2006/main" count="164" uniqueCount="86">
  <si>
    <t>Sum-of-the-Parts (SOTP) Valuation</t>
  </si>
  <si>
    <t>Geschäftsjahr:</t>
  </si>
  <si>
    <t>Bewertung</t>
  </si>
  <si>
    <t>Kurs</t>
  </si>
  <si>
    <t>MOS</t>
  </si>
  <si>
    <t>Kaufkurs</t>
  </si>
  <si>
    <t>Kaufkurs EUR</t>
  </si>
  <si>
    <t>FX</t>
  </si>
  <si>
    <t>Währung:</t>
  </si>
  <si>
    <t>Einheit:</t>
  </si>
  <si>
    <t>Währung / Einheit:</t>
  </si>
  <si>
    <t>Segmentbewertung</t>
  </si>
  <si>
    <t>Multiple</t>
  </si>
  <si>
    <t>Enterprise Value</t>
  </si>
  <si>
    <t>Segment</t>
  </si>
  <si>
    <t>Einheit</t>
  </si>
  <si>
    <t>Konservativ</t>
  </si>
  <si>
    <t>Basis</t>
  </si>
  <si>
    <t>Ambitioniert</t>
  </si>
  <si>
    <t>-</t>
  </si>
  <si>
    <t>Gesamt</t>
  </si>
  <si>
    <t>Bewertung Peers</t>
  </si>
  <si>
    <t>Ticker</t>
  </si>
  <si>
    <t>Wert</t>
  </si>
  <si>
    <t>Peer 4</t>
  </si>
  <si>
    <t>Peer 5</t>
  </si>
  <si>
    <t>Mittelwert</t>
  </si>
  <si>
    <t>Peer 1</t>
  </si>
  <si>
    <t>Peer 2</t>
  </si>
  <si>
    <t>Peer 3</t>
  </si>
  <si>
    <t>Bewertung des Eigenkapitals</t>
  </si>
  <si>
    <t>Item</t>
  </si>
  <si>
    <t>Bezeichnung</t>
  </si>
  <si>
    <t>Unit/Einheit</t>
  </si>
  <si>
    <t>Estimated Value</t>
  </si>
  <si>
    <t>Unternehmenswert</t>
  </si>
  <si>
    <t xml:space="preserve"> + Cash &amp; Cash Equivalents on Balance Sheet</t>
  </si>
  <si>
    <t xml:space="preserve"> + Cash &amp; Äquivalente</t>
  </si>
  <si>
    <t>Total Value of Business &amp; Cash</t>
  </si>
  <si>
    <t>Unternehmenswert &amp; Cash</t>
  </si>
  <si>
    <t xml:space="preserve"> - Total Debt</t>
  </si>
  <si>
    <t xml:space="preserve"> - Gesamtschulden</t>
  </si>
  <si>
    <t xml:space="preserve"> - Off Balance Sheet Debt</t>
  </si>
  <si>
    <t xml:space="preserve"> - Außerbilanzielle Schulden</t>
  </si>
  <si>
    <t xml:space="preserve"> - Net Pension Committments</t>
  </si>
  <si>
    <t xml:space="preserve"> - Pensionsverpflichtungen (netto)</t>
  </si>
  <si>
    <t>Estimated Fair Value of Equity</t>
  </si>
  <si>
    <t>Fairer Wert Eigenkapital</t>
  </si>
  <si>
    <t>Bewertung je Aktie</t>
  </si>
  <si>
    <t>Shares Outstanding (basic)</t>
  </si>
  <si>
    <t>Umlaufende Aktien (unverwässert)</t>
  </si>
  <si>
    <t>Mio. Stück</t>
  </si>
  <si>
    <t>Estimated Fair Value per Share (SOTP)</t>
  </si>
  <si>
    <t>Fairer Wert je Aktie (SOTP)</t>
  </si>
  <si>
    <t>Margin of Safety</t>
  </si>
  <si>
    <t>Sicherheitsmarge</t>
  </si>
  <si>
    <t>%</t>
  </si>
  <si>
    <t>in EUR</t>
  </si>
  <si>
    <t>Exchange Rate</t>
  </si>
  <si>
    <t>Wechselkurs</t>
  </si>
  <si>
    <t>USD/EUR</t>
  </si>
  <si>
    <t>Estimated Fair Value per Share</t>
  </si>
  <si>
    <t>Fairer Wert je Aktie</t>
  </si>
  <si>
    <t>EUR/Aktie</t>
  </si>
  <si>
    <t>EUR</t>
  </si>
  <si>
    <t>million</t>
  </si>
  <si>
    <t>31.12.2017</t>
  </si>
  <si>
    <t>Fiat Chrysler</t>
  </si>
  <si>
    <t>FCA.MI</t>
  </si>
  <si>
    <t>Sports (Maserati)</t>
  </si>
  <si>
    <t>Other Mass Market</t>
  </si>
  <si>
    <t>Components (Magneti Marelli, Comau, Teksid)</t>
  </si>
  <si>
    <t>Auto &amp; Truck</t>
  </si>
  <si>
    <t>Umsatz</t>
  </si>
  <si>
    <t>Other/Corporate/Consolidation</t>
  </si>
  <si>
    <t>SUV (Jeep, RAM)</t>
  </si>
  <si>
    <t>Depreciation &amp; Amortization</t>
  </si>
  <si>
    <t>EBIT</t>
  </si>
  <si>
    <t>EBIT Margin [%]</t>
  </si>
  <si>
    <t>EBIT Margin normalisiert [%]</t>
  </si>
  <si>
    <t>EBITDA normalisiert</t>
  </si>
  <si>
    <t>EBITDA (inkl. Corporate)</t>
  </si>
  <si>
    <t>Metrik</t>
  </si>
  <si>
    <t>EBITDA</t>
  </si>
  <si>
    <t>Enterprise Value je Aktie</t>
  </si>
  <si>
    <t>EBIT normalisiert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</si>
</sst>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dd\.mm\.yy;@"/>
    <numFmt numFmtId="165" formatCode="0.0%"/>
    <numFmt numFmtId="166" formatCode="0.0"/>
    <numFmt numFmtId="167" formatCode="_(* #,##0_);_(* \(#,##0\);_(* &quot;-&quot;??_);_(@_)"/>
    <numFmt numFmtId="168" formatCode="_(* #,##0.00_);_(* \(#,##0.00\);_(* &quot;-&quot;_);_(@_)"/>
  </numFmts>
  <fonts count="18">
    <font>
      <sz val="10"/>
      <name val="Arial"/>
      <family val="2"/>
    </font>
    <font>
      <sz val="10"/>
      <name val="Arial"/>
      <family val="2"/>
    </font>
    <font>
      <b/>
      <sz val="20"/>
      <color rgb="FF00A0F0"/>
      <name val="Arial"/>
      <family val="2"/>
    </font>
    <font>
      <b/>
      <sz val="16"/>
      <color rgb="FF2C558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sz val="14"/>
      <color rgb="FF00A0F0"/>
      <name val="Arial"/>
      <family val="2"/>
    </font>
    <font>
      <i/>
      <sz val="12"/>
      <name val="Arial"/>
      <family val="2"/>
    </font>
    <font>
      <b/>
      <sz val="10"/>
      <color rgb="FF00A0F0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0" tint="-0.34998626667073579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A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4"/>
      </left>
      <right style="thin">
        <color rgb="FF00B0F0"/>
      </right>
      <top style="medium">
        <color theme="4"/>
      </top>
      <bottom/>
      <diagonal/>
    </border>
    <border>
      <left style="thin">
        <color theme="4"/>
      </left>
      <right style="thin">
        <color rgb="FF00B0F0"/>
      </right>
      <top style="thin">
        <color theme="4"/>
      </top>
      <bottom/>
      <diagonal/>
    </border>
    <border>
      <left style="thin">
        <color theme="4"/>
      </left>
      <right style="thin">
        <color rgb="FF00B0F0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164" fontId="0" fillId="0" borderId="0" xfId="0" applyNumberFormat="1" applyFill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0" xfId="0" applyFont="1"/>
    <xf numFmtId="2" fontId="5" fillId="0" borderId="7" xfId="0" applyNumberFormat="1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10" fillId="0" borderId="11" xfId="3" applyNumberFormat="1" applyFont="1" applyBorder="1" applyAlignment="1">
      <alignment horizontal="left" wrapText="1"/>
    </xf>
    <xf numFmtId="0" fontId="10" fillId="0" borderId="12" xfId="3" applyNumberFormat="1" applyFont="1" applyBorder="1" applyAlignment="1">
      <alignment horizontal="left" wrapText="1"/>
    </xf>
    <xf numFmtId="0" fontId="11" fillId="3" borderId="13" xfId="0" applyFont="1" applyFill="1" applyBorder="1"/>
    <xf numFmtId="0" fontId="11" fillId="4" borderId="13" xfId="0" applyFont="1" applyFill="1" applyBorder="1"/>
    <xf numFmtId="166" fontId="11" fillId="4" borderId="13" xfId="0" applyNumberFormat="1" applyFont="1" applyFill="1" applyBorder="1"/>
    <xf numFmtId="0" fontId="11" fillId="2" borderId="11" xfId="0" applyFont="1" applyFill="1" applyBorder="1"/>
    <xf numFmtId="0" fontId="11" fillId="0" borderId="11" xfId="0" applyFont="1" applyBorder="1"/>
    <xf numFmtId="166" fontId="11" fillId="0" borderId="11" xfId="0" applyNumberFormat="1" applyFont="1" applyBorder="1"/>
    <xf numFmtId="0" fontId="11" fillId="3" borderId="11" xfId="0" applyFont="1" applyFill="1" applyBorder="1"/>
    <xf numFmtId="0" fontId="11" fillId="4" borderId="11" xfId="0" applyFont="1" applyFill="1" applyBorder="1"/>
    <xf numFmtId="166" fontId="11" fillId="4" borderId="11" xfId="0" applyNumberFormat="1" applyFont="1" applyFill="1" applyBorder="1"/>
    <xf numFmtId="0" fontId="4" fillId="0" borderId="0" xfId="0" applyFont="1"/>
    <xf numFmtId="0" fontId="12" fillId="5" borderId="15" xfId="0" applyFont="1" applyFill="1" applyBorder="1"/>
    <xf numFmtId="0" fontId="4" fillId="0" borderId="0" xfId="0" applyFont="1" applyFill="1"/>
    <xf numFmtId="0" fontId="13" fillId="0" borderId="0" xfId="0" applyFont="1" applyFill="1" applyBorder="1"/>
    <xf numFmtId="0" fontId="12" fillId="0" borderId="0" xfId="0" applyFont="1" applyFill="1" applyBorder="1"/>
    <xf numFmtId="0" fontId="11" fillId="4" borderId="14" xfId="0" applyFont="1" applyFill="1" applyBorder="1" applyAlignment="1">
      <alignment horizontal="center"/>
    </xf>
    <xf numFmtId="166" fontId="11" fillId="0" borderId="12" xfId="0" applyNumberFormat="1" applyFont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166" fontId="12" fillId="5" borderId="16" xfId="0" applyNumberFormat="1" applyFont="1" applyFill="1" applyBorder="1" applyAlignment="1">
      <alignment horizontal="center"/>
    </xf>
    <xf numFmtId="166" fontId="11" fillId="4" borderId="14" xfId="0" applyNumberFormat="1" applyFont="1" applyFill="1" applyBorder="1" applyAlignment="1">
      <alignment horizontal="center"/>
    </xf>
    <xf numFmtId="166" fontId="11" fillId="4" borderId="12" xfId="0" applyNumberFormat="1" applyFont="1" applyFill="1" applyBorder="1" applyAlignment="1">
      <alignment horizontal="center"/>
    </xf>
    <xf numFmtId="0" fontId="1" fillId="0" borderId="0" xfId="3" applyFont="1" applyFill="1" applyBorder="1"/>
    <xf numFmtId="0" fontId="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0" fillId="0" borderId="11" xfId="3" applyNumberFormat="1" applyFont="1" applyBorder="1" applyAlignment="1">
      <alignment horizontal="center" wrapText="1"/>
    </xf>
    <xf numFmtId="0" fontId="10" fillId="0" borderId="12" xfId="3" applyNumberFormat="1" applyFont="1" applyBorder="1" applyAlignment="1">
      <alignment horizontal="center" wrapText="1"/>
    </xf>
    <xf numFmtId="0" fontId="11" fillId="4" borderId="13" xfId="3" applyNumberFormat="1" applyFont="1" applyFill="1" applyBorder="1" applyAlignment="1">
      <alignment horizontal="left"/>
    </xf>
    <xf numFmtId="167" fontId="11" fillId="4" borderId="13" xfId="1" applyNumberFormat="1" applyFont="1" applyFill="1" applyBorder="1" applyAlignment="1">
      <alignment horizontal="right"/>
    </xf>
    <xf numFmtId="167" fontId="11" fillId="4" borderId="14" xfId="1" applyNumberFormat="1" applyFont="1" applyFill="1" applyBorder="1" applyAlignment="1">
      <alignment horizontal="right"/>
    </xf>
    <xf numFmtId="0" fontId="11" fillId="0" borderId="11" xfId="3" applyNumberFormat="1" applyFont="1" applyBorder="1" applyAlignment="1">
      <alignment horizontal="left"/>
    </xf>
    <xf numFmtId="167" fontId="11" fillId="0" borderId="11" xfId="1" applyNumberFormat="1" applyFont="1" applyBorder="1" applyAlignment="1">
      <alignment horizontal="right"/>
    </xf>
    <xf numFmtId="167" fontId="11" fillId="0" borderId="12" xfId="1" applyNumberFormat="1" applyFont="1" applyBorder="1" applyAlignment="1">
      <alignment horizontal="right"/>
    </xf>
    <xf numFmtId="0" fontId="11" fillId="4" borderId="11" xfId="3" applyNumberFormat="1" applyFont="1" applyFill="1" applyBorder="1" applyAlignment="1">
      <alignment horizontal="left"/>
    </xf>
    <xf numFmtId="167" fontId="11" fillId="4" borderId="11" xfId="1" applyNumberFormat="1" applyFont="1" applyFill="1" applyBorder="1" applyAlignment="1">
      <alignment horizontal="right"/>
    </xf>
    <xf numFmtId="167" fontId="11" fillId="4" borderId="12" xfId="1" applyNumberFormat="1" applyFont="1" applyFill="1" applyBorder="1" applyAlignment="1">
      <alignment horizontal="right"/>
    </xf>
    <xf numFmtId="0" fontId="15" fillId="4" borderId="15" xfId="3" applyNumberFormat="1" applyFont="1" applyFill="1" applyBorder="1" applyAlignment="1">
      <alignment horizontal="left"/>
    </xf>
    <xf numFmtId="167" fontId="15" fillId="4" borderId="15" xfId="1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center" wrapText="1"/>
    </xf>
    <xf numFmtId="0" fontId="11" fillId="0" borderId="0" xfId="3" applyNumberFormat="1" applyFont="1" applyFill="1" applyBorder="1" applyAlignment="1">
      <alignment horizontal="left"/>
    </xf>
    <xf numFmtId="41" fontId="11" fillId="0" borderId="0" xfId="3" applyNumberFormat="1" applyFont="1" applyFill="1" applyBorder="1" applyAlignment="1">
      <alignment horizontal="right"/>
    </xf>
    <xf numFmtId="2" fontId="11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0" fontId="14" fillId="0" borderId="0" xfId="0" applyFont="1" applyFill="1"/>
    <xf numFmtId="0" fontId="16" fillId="0" borderId="0" xfId="3" applyNumberFormat="1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horizontal="center" wrapText="1"/>
    </xf>
    <xf numFmtId="168" fontId="11" fillId="0" borderId="0" xfId="3" applyNumberFormat="1" applyFont="1" applyFill="1" applyBorder="1" applyAlignment="1">
      <alignment horizontal="right"/>
    </xf>
    <xf numFmtId="165" fontId="1" fillId="0" borderId="0" xfId="2" applyNumberFormat="1" applyFont="1" applyFill="1" applyBorder="1" applyAlignment="1">
      <alignment horizontal="right"/>
    </xf>
    <xf numFmtId="165" fontId="0" fillId="0" borderId="0" xfId="2" applyNumberFormat="1" applyFont="1"/>
    <xf numFmtId="0" fontId="0" fillId="0" borderId="0" xfId="0" applyFont="1" applyFill="1"/>
    <xf numFmtId="1" fontId="11" fillId="4" borderId="13" xfId="0" applyNumberFormat="1" applyFont="1" applyFill="1" applyBorder="1"/>
    <xf numFmtId="1" fontId="11" fillId="0" borderId="11" xfId="0" applyNumberFormat="1" applyFont="1" applyBorder="1"/>
    <xf numFmtId="1" fontId="11" fillId="0" borderId="12" xfId="0" applyNumberFormat="1" applyFont="1" applyBorder="1"/>
    <xf numFmtId="1" fontId="11" fillId="4" borderId="11" xfId="0" applyNumberFormat="1" applyFont="1" applyFill="1" applyBorder="1"/>
    <xf numFmtId="1" fontId="11" fillId="4" borderId="12" xfId="0" applyNumberFormat="1" applyFont="1" applyFill="1" applyBorder="1"/>
    <xf numFmtId="1" fontId="12" fillId="5" borderId="15" xfId="0" applyNumberFormat="1" applyFont="1" applyFill="1" applyBorder="1"/>
    <xf numFmtId="1" fontId="12" fillId="5" borderId="16" xfId="0" applyNumberFormat="1" applyFont="1" applyFill="1" applyBorder="1"/>
    <xf numFmtId="2" fontId="5" fillId="2" borderId="8" xfId="0" applyNumberFormat="1" applyFont="1" applyFill="1" applyBorder="1" applyAlignment="1">
      <alignment horizontal="center"/>
    </xf>
    <xf numFmtId="2" fontId="11" fillId="2" borderId="11" xfId="0" applyNumberFormat="1" applyFont="1" applyFill="1" applyBorder="1"/>
    <xf numFmtId="166" fontId="0" fillId="0" borderId="0" xfId="2" applyNumberFormat="1" applyFont="1"/>
    <xf numFmtId="166" fontId="0" fillId="0" borderId="0" xfId="0" applyNumberFormat="1"/>
    <xf numFmtId="165" fontId="11" fillId="4" borderId="13" xfId="2" applyNumberFormat="1" applyFont="1" applyFill="1" applyBorder="1"/>
    <xf numFmtId="165" fontId="11" fillId="0" borderId="11" xfId="2" applyNumberFormat="1" applyFont="1" applyBorder="1"/>
    <xf numFmtId="165" fontId="11" fillId="4" borderId="11" xfId="2" applyNumberFormat="1" applyFont="1" applyFill="1" applyBorder="1"/>
    <xf numFmtId="1" fontId="11" fillId="2" borderId="11" xfId="0" applyNumberFormat="1" applyFont="1" applyFill="1" applyBorder="1"/>
    <xf numFmtId="1" fontId="11" fillId="3" borderId="13" xfId="0" applyNumberFormat="1" applyFont="1" applyFill="1" applyBorder="1"/>
    <xf numFmtId="165" fontId="11" fillId="3" borderId="13" xfId="0" applyNumberFormat="1" applyFont="1" applyFill="1" applyBorder="1"/>
    <xf numFmtId="165" fontId="11" fillId="2" borderId="11" xfId="0" applyNumberFormat="1" applyFont="1" applyFill="1" applyBorder="1"/>
    <xf numFmtId="165" fontId="11" fillId="3" borderId="11" xfId="0" applyNumberFormat="1" applyFont="1" applyFill="1" applyBorder="1"/>
    <xf numFmtId="1" fontId="11" fillId="4" borderId="12" xfId="0" applyNumberFormat="1" applyFont="1" applyFill="1" applyBorder="1" applyAlignment="1">
      <alignment horizontal="center"/>
    </xf>
    <xf numFmtId="166" fontId="11" fillId="4" borderId="22" xfId="0" applyNumberFormat="1" applyFont="1" applyFill="1" applyBorder="1"/>
    <xf numFmtId="166" fontId="11" fillId="0" borderId="23" xfId="0" applyNumberFormat="1" applyFont="1" applyBorder="1"/>
    <xf numFmtId="166" fontId="11" fillId="4" borderId="23" xfId="0" applyNumberFormat="1" applyFont="1" applyFill="1" applyBorder="1"/>
    <xf numFmtId="1" fontId="11" fillId="4" borderId="23" xfId="0" applyNumberFormat="1" applyFont="1" applyFill="1" applyBorder="1"/>
    <xf numFmtId="1" fontId="11" fillId="0" borderId="23" xfId="0" applyNumberFormat="1" applyFont="1" applyBorder="1"/>
    <xf numFmtId="1" fontId="11" fillId="4" borderId="24" xfId="0" applyNumberFormat="1" applyFont="1" applyFill="1" applyBorder="1"/>
    <xf numFmtId="1" fontId="11" fillId="3" borderId="11" xfId="0" applyNumberFormat="1" applyFont="1" applyFill="1" applyBorder="1"/>
    <xf numFmtId="0" fontId="10" fillId="0" borderId="17" xfId="3" applyNumberFormat="1" applyFont="1" applyBorder="1" applyAlignment="1">
      <alignment horizontal="center" wrapText="1"/>
    </xf>
    <xf numFmtId="0" fontId="10" fillId="0" borderId="18" xfId="3" applyNumberFormat="1" applyFont="1" applyBorder="1" applyAlignment="1">
      <alignment horizontal="center" wrapText="1"/>
    </xf>
    <xf numFmtId="0" fontId="9" fillId="0" borderId="19" xfId="3" applyFont="1" applyFill="1" applyBorder="1" applyAlignment="1">
      <alignment horizontal="center" wrapText="1"/>
    </xf>
    <xf numFmtId="0" fontId="9" fillId="0" borderId="20" xfId="3" applyFont="1" applyFill="1" applyBorder="1" applyAlignment="1">
      <alignment horizontal="center" wrapText="1"/>
    </xf>
    <xf numFmtId="0" fontId="9" fillId="0" borderId="21" xfId="3" applyFont="1" applyFill="1" applyBorder="1" applyAlignment="1">
      <alignment horizontal="center" wrapText="1"/>
    </xf>
    <xf numFmtId="166" fontId="12" fillId="5" borderId="15" xfId="0" applyNumberFormat="1" applyFont="1" applyFill="1" applyBorder="1"/>
  </cellXfs>
  <cellStyles count="4">
    <cellStyle name="Comma" xfId="1" builtinId="3"/>
    <cellStyle name="Normal" xfId="0" builtinId="0"/>
    <cellStyle name="Normal_fcffginzu" xfId="3"/>
    <cellStyle name="Percent" xfId="2" builtinId="5"/>
  </cellStyles>
  <dxfs count="2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9526</xdr:rowOff>
    </xdr:from>
    <xdr:to>
      <xdr:col>1</xdr:col>
      <xdr:colOff>1476375</xdr:colOff>
      <xdr:row>2</xdr:row>
      <xdr:rowOff>66676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77" b="16667"/>
        <a:stretch/>
      </xdr:blipFill>
      <xdr:spPr>
        <a:xfrm>
          <a:off x="57150" y="9526"/>
          <a:ext cx="1597025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el\Downloads\FinancialStatementFY17Q1_MS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ash"/>
      <sheetName val="Income Statements"/>
      <sheetName val="Comprehensive Income"/>
      <sheetName val="Balance Sheets"/>
      <sheetName val="Cash Flows"/>
      <sheetName val="Segment Revenue &amp; OI"/>
      <sheetName val="Quarterly Income Statements"/>
      <sheetName val="Segment History"/>
      <sheetName val="Unearned Revenue"/>
      <sheetName val="Yearly Income Statements"/>
      <sheetName val="Return of Cash to Shareholders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>
        <row r="6">
          <cell r="B6">
            <v>6306</v>
          </cell>
          <cell r="C6">
            <v>6690</v>
          </cell>
          <cell r="D6">
            <v>6521</v>
          </cell>
          <cell r="E6">
            <v>6970</v>
          </cell>
          <cell r="F6">
            <v>26487</v>
          </cell>
          <cell r="H6">
            <v>6658</v>
          </cell>
          <cell r="L6">
            <v>6658</v>
          </cell>
        </row>
        <row r="7">
          <cell r="B7">
            <v>5892</v>
          </cell>
          <cell r="C7">
            <v>6343</v>
          </cell>
          <cell r="D7">
            <v>6096</v>
          </cell>
          <cell r="E7">
            <v>6711</v>
          </cell>
          <cell r="F7">
            <v>25042</v>
          </cell>
          <cell r="H7">
            <v>6382</v>
          </cell>
          <cell r="L7">
            <v>6382</v>
          </cell>
        </row>
        <row r="8">
          <cell r="B8">
            <v>9462</v>
          </cell>
          <cell r="C8">
            <v>12473</v>
          </cell>
          <cell r="D8">
            <v>9539</v>
          </cell>
          <cell r="E8">
            <v>8960</v>
          </cell>
          <cell r="F8">
            <v>40434</v>
          </cell>
          <cell r="H8">
            <v>9294</v>
          </cell>
          <cell r="L8">
            <v>9294</v>
          </cell>
        </row>
        <row r="9">
          <cell r="B9">
            <v>-1281</v>
          </cell>
          <cell r="C9">
            <v>-1710</v>
          </cell>
          <cell r="D9">
            <v>-1625</v>
          </cell>
          <cell r="E9">
            <v>-2027</v>
          </cell>
          <cell r="F9">
            <v>-6643</v>
          </cell>
          <cell r="H9">
            <v>-1881</v>
          </cell>
          <cell r="L9">
            <v>-1881</v>
          </cell>
        </row>
        <row r="14">
          <cell r="B14">
            <v>3156</v>
          </cell>
          <cell r="C14">
            <v>3292</v>
          </cell>
          <cell r="D14">
            <v>2981</v>
          </cell>
          <cell r="E14">
            <v>2989</v>
          </cell>
          <cell r="F14">
            <v>12418</v>
          </cell>
          <cell r="H14">
            <v>3120</v>
          </cell>
          <cell r="L14">
            <v>3120</v>
          </cell>
        </row>
        <row r="15">
          <cell r="B15">
            <v>2391</v>
          </cell>
          <cell r="C15">
            <v>2568</v>
          </cell>
          <cell r="D15">
            <v>2176</v>
          </cell>
          <cell r="E15">
            <v>2180</v>
          </cell>
          <cell r="F15">
            <v>9315</v>
          </cell>
          <cell r="H15">
            <v>2058</v>
          </cell>
          <cell r="L15">
            <v>2058</v>
          </cell>
        </row>
        <row r="16">
          <cell r="B16">
            <v>1527</v>
          </cell>
          <cell r="C16">
            <v>1876</v>
          </cell>
          <cell r="D16">
            <v>1751</v>
          </cell>
          <cell r="E16">
            <v>1048</v>
          </cell>
          <cell r="F16">
            <v>6202</v>
          </cell>
          <cell r="H16">
            <v>1928</v>
          </cell>
          <cell r="L16">
            <v>1928</v>
          </cell>
        </row>
        <row r="17">
          <cell r="B17">
            <v>-1281</v>
          </cell>
          <cell r="C17">
            <v>-1710</v>
          </cell>
          <cell r="D17">
            <v>-1625</v>
          </cell>
          <cell r="E17">
            <v>-3137</v>
          </cell>
          <cell r="F17">
            <v>-7753</v>
          </cell>
          <cell r="H17">
            <v>-1881</v>
          </cell>
          <cell r="L17">
            <v>-1881</v>
          </cell>
        </row>
      </sheetData>
      <sheetData sheetId="8"/>
      <sheetData sheetId="9">
        <row r="6">
          <cell r="D6">
            <v>6075</v>
          </cell>
          <cell r="E6">
            <v>9050</v>
          </cell>
          <cell r="F6">
            <v>11936</v>
          </cell>
          <cell r="G6">
            <v>15262</v>
          </cell>
          <cell r="H6">
            <v>19747</v>
          </cell>
          <cell r="I6">
            <v>22956</v>
          </cell>
          <cell r="J6">
            <v>25296</v>
          </cell>
          <cell r="K6">
            <v>28365</v>
          </cell>
          <cell r="L6">
            <v>32187</v>
          </cell>
          <cell r="M6">
            <v>36835</v>
          </cell>
          <cell r="N6">
            <v>39788</v>
          </cell>
          <cell r="O6">
            <v>44282</v>
          </cell>
          <cell r="P6">
            <v>51122</v>
          </cell>
          <cell r="Q6">
            <v>60420</v>
          </cell>
          <cell r="R6">
            <v>58437</v>
          </cell>
          <cell r="S6">
            <v>62484</v>
          </cell>
          <cell r="T6">
            <v>69943</v>
          </cell>
          <cell r="U6">
            <v>73723</v>
          </cell>
          <cell r="V6">
            <v>77849</v>
          </cell>
          <cell r="W6">
            <v>86833</v>
          </cell>
        </row>
        <row r="7">
          <cell r="D7">
            <v>1346</v>
          </cell>
          <cell r="E7">
            <v>2145</v>
          </cell>
          <cell r="F7">
            <v>2170</v>
          </cell>
          <cell r="G7">
            <v>2460</v>
          </cell>
          <cell r="H7">
            <v>2814</v>
          </cell>
          <cell r="I7">
            <v>3002</v>
          </cell>
          <cell r="J7">
            <v>3455</v>
          </cell>
          <cell r="K7">
            <v>5699</v>
          </cell>
          <cell r="L7">
            <v>6059</v>
          </cell>
          <cell r="M7">
            <v>6596</v>
          </cell>
          <cell r="N7">
            <v>6031</v>
          </cell>
          <cell r="O7">
            <v>7650</v>
          </cell>
          <cell r="P7">
            <v>10693</v>
          </cell>
          <cell r="Q7">
            <v>11598</v>
          </cell>
          <cell r="R7">
            <v>12155</v>
          </cell>
          <cell r="S7">
            <v>12395</v>
          </cell>
          <cell r="T7">
            <v>15577</v>
          </cell>
          <cell r="U7">
            <v>17530</v>
          </cell>
          <cell r="V7">
            <v>20385</v>
          </cell>
          <cell r="W7">
            <v>27078</v>
          </cell>
        </row>
        <row r="8">
          <cell r="D8">
            <v>4729</v>
          </cell>
          <cell r="E8">
            <v>6905</v>
          </cell>
          <cell r="F8">
            <v>9766</v>
          </cell>
          <cell r="G8">
            <v>12802</v>
          </cell>
          <cell r="H8">
            <v>16933</v>
          </cell>
          <cell r="I8">
            <v>19954</v>
          </cell>
          <cell r="J8">
            <v>21841</v>
          </cell>
          <cell r="K8">
            <v>22666</v>
          </cell>
          <cell r="L8">
            <v>26128</v>
          </cell>
          <cell r="M8">
            <v>30239</v>
          </cell>
          <cell r="N8">
            <v>33757</v>
          </cell>
          <cell r="O8">
            <v>36632</v>
          </cell>
          <cell r="P8">
            <v>40429</v>
          </cell>
          <cell r="Q8">
            <v>48822</v>
          </cell>
          <cell r="R8">
            <v>46282</v>
          </cell>
          <cell r="S8">
            <v>50089</v>
          </cell>
          <cell r="T8">
            <v>54366</v>
          </cell>
          <cell r="U8">
            <v>56193</v>
          </cell>
          <cell r="V8">
            <v>57464</v>
          </cell>
          <cell r="W8">
            <v>59755</v>
          </cell>
        </row>
        <row r="9">
          <cell r="D9">
            <v>860</v>
          </cell>
          <cell r="E9">
            <v>1326</v>
          </cell>
          <cell r="F9">
            <v>1863</v>
          </cell>
          <cell r="G9">
            <v>2897</v>
          </cell>
          <cell r="H9">
            <v>2970</v>
          </cell>
          <cell r="I9">
            <v>3772</v>
          </cell>
          <cell r="J9">
            <v>4379</v>
          </cell>
          <cell r="K9">
            <v>6299</v>
          </cell>
          <cell r="L9">
            <v>6595</v>
          </cell>
          <cell r="M9">
            <v>7735</v>
          </cell>
          <cell r="N9">
            <v>6097</v>
          </cell>
          <cell r="O9">
            <v>6584</v>
          </cell>
          <cell r="P9">
            <v>7121</v>
          </cell>
          <cell r="Q9">
            <v>8164</v>
          </cell>
          <cell r="R9">
            <v>9010</v>
          </cell>
          <cell r="S9">
            <v>8714</v>
          </cell>
          <cell r="T9">
            <v>9043</v>
          </cell>
          <cell r="U9">
            <v>9811</v>
          </cell>
          <cell r="V9">
            <v>10411</v>
          </cell>
          <cell r="W9">
            <v>11381</v>
          </cell>
        </row>
        <row r="10">
          <cell r="D10">
            <v>1564</v>
          </cell>
          <cell r="E10">
            <v>2185</v>
          </cell>
          <cell r="F10">
            <v>2411</v>
          </cell>
          <cell r="G10">
            <v>2887</v>
          </cell>
          <cell r="H10">
            <v>3238</v>
          </cell>
          <cell r="I10">
            <v>4126</v>
          </cell>
          <cell r="J10">
            <v>4885</v>
          </cell>
          <cell r="K10">
            <v>6252</v>
          </cell>
          <cell r="L10">
            <v>7562</v>
          </cell>
          <cell r="M10">
            <v>8121</v>
          </cell>
          <cell r="N10">
            <v>8548</v>
          </cell>
          <cell r="O10">
            <v>9910</v>
          </cell>
          <cell r="P10">
            <v>11541</v>
          </cell>
          <cell r="Q10">
            <v>13260</v>
          </cell>
          <cell r="R10">
            <v>12879</v>
          </cell>
          <cell r="S10">
            <v>13214</v>
          </cell>
          <cell r="T10">
            <v>13940</v>
          </cell>
          <cell r="U10">
            <v>13857</v>
          </cell>
          <cell r="V10">
            <v>15276</v>
          </cell>
          <cell r="W10">
            <v>15811</v>
          </cell>
        </row>
        <row r="11">
          <cell r="D11">
            <v>267</v>
          </cell>
          <cell r="E11">
            <v>316</v>
          </cell>
          <cell r="F11">
            <v>362</v>
          </cell>
          <cell r="G11">
            <v>433</v>
          </cell>
          <cell r="H11">
            <v>715</v>
          </cell>
          <cell r="I11">
            <v>1050</v>
          </cell>
          <cell r="J11">
            <v>857</v>
          </cell>
          <cell r="K11">
            <v>1843</v>
          </cell>
          <cell r="L11">
            <v>2426</v>
          </cell>
          <cell r="M11">
            <v>5275</v>
          </cell>
          <cell r="N11">
            <v>4536</v>
          </cell>
          <cell r="O11">
            <v>3758</v>
          </cell>
          <cell r="P11">
            <v>3329</v>
          </cell>
          <cell r="Q11">
            <v>5127</v>
          </cell>
          <cell r="R11">
            <v>4030</v>
          </cell>
          <cell r="S11">
            <v>4063</v>
          </cell>
          <cell r="T11">
            <v>4222</v>
          </cell>
          <cell r="U11">
            <v>4569</v>
          </cell>
          <cell r="V11">
            <v>5013</v>
          </cell>
          <cell r="W11">
            <v>4677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6193</v>
          </cell>
          <cell r="V12">
            <v>0</v>
          </cell>
          <cell r="W12">
            <v>127</v>
          </cell>
        </row>
        <row r="13">
          <cell r="D13">
            <v>16</v>
          </cell>
          <cell r="E13">
            <v>19</v>
          </cell>
          <cell r="F13">
            <v>259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D14">
            <v>2022</v>
          </cell>
          <cell r="E14">
            <v>3059</v>
          </cell>
          <cell r="F14">
            <v>4871</v>
          </cell>
          <cell r="G14">
            <v>6585</v>
          </cell>
          <cell r="H14">
            <v>10010</v>
          </cell>
          <cell r="I14">
            <v>11006</v>
          </cell>
          <cell r="J14">
            <v>11720</v>
          </cell>
          <cell r="K14">
            <v>8272</v>
          </cell>
          <cell r="L14">
            <v>9545</v>
          </cell>
          <cell r="M14">
            <v>9108</v>
          </cell>
          <cell r="N14">
            <v>14576</v>
          </cell>
          <cell r="O14">
            <v>16380</v>
          </cell>
          <cell r="P14">
            <v>18438</v>
          </cell>
          <cell r="Q14">
            <v>22271</v>
          </cell>
          <cell r="R14">
            <v>20363</v>
          </cell>
          <cell r="S14">
            <v>24098</v>
          </cell>
          <cell r="T14">
            <v>27161</v>
          </cell>
          <cell r="U14">
            <v>21763</v>
          </cell>
          <cell r="V14">
            <v>26764</v>
          </cell>
          <cell r="W14">
            <v>27759</v>
          </cell>
        </row>
        <row r="15">
          <cell r="D15">
            <v>191</v>
          </cell>
          <cell r="E15">
            <v>320</v>
          </cell>
          <cell r="F15">
            <v>443</v>
          </cell>
          <cell r="G15">
            <v>532</v>
          </cell>
          <cell r="H15">
            <v>1881</v>
          </cell>
          <cell r="I15">
            <v>3269</v>
          </cell>
          <cell r="J15">
            <v>-195</v>
          </cell>
          <cell r="K15">
            <v>-397</v>
          </cell>
          <cell r="L15">
            <v>1509</v>
          </cell>
          <cell r="M15">
            <v>3088</v>
          </cell>
          <cell r="N15">
            <v>2052</v>
          </cell>
          <cell r="O15">
            <v>1882</v>
          </cell>
          <cell r="P15">
            <v>1663</v>
          </cell>
          <cell r="Q15">
            <v>1543</v>
          </cell>
          <cell r="R15">
            <v>-542</v>
          </cell>
          <cell r="S15">
            <v>915</v>
          </cell>
          <cell r="T15">
            <v>910</v>
          </cell>
          <cell r="U15">
            <v>504</v>
          </cell>
          <cell r="V15">
            <v>288</v>
          </cell>
          <cell r="W15">
            <v>61</v>
          </cell>
        </row>
        <row r="16">
          <cell r="D16">
            <v>-46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D17">
            <v>2167</v>
          </cell>
          <cell r="E17">
            <v>3379</v>
          </cell>
          <cell r="F17">
            <v>5314</v>
          </cell>
          <cell r="G17">
            <v>7117</v>
          </cell>
          <cell r="H17">
            <v>11891</v>
          </cell>
          <cell r="I17">
            <v>14275</v>
          </cell>
          <cell r="J17">
            <v>11525</v>
          </cell>
          <cell r="K17">
            <v>7875</v>
          </cell>
          <cell r="L17">
            <v>11054</v>
          </cell>
          <cell r="M17">
            <v>12196</v>
          </cell>
          <cell r="N17">
            <v>16628</v>
          </cell>
          <cell r="O17">
            <v>18262</v>
          </cell>
          <cell r="P17">
            <v>20101</v>
          </cell>
          <cell r="Q17">
            <v>23814</v>
          </cell>
          <cell r="R17">
            <v>19821</v>
          </cell>
          <cell r="S17">
            <v>25013</v>
          </cell>
          <cell r="T17">
            <v>28071</v>
          </cell>
          <cell r="U17">
            <v>22267</v>
          </cell>
          <cell r="V17">
            <v>27052</v>
          </cell>
          <cell r="W17">
            <v>27820</v>
          </cell>
        </row>
        <row r="18">
          <cell r="D18">
            <v>714</v>
          </cell>
          <cell r="E18">
            <v>1184</v>
          </cell>
          <cell r="F18">
            <v>1860</v>
          </cell>
          <cell r="G18">
            <v>2627</v>
          </cell>
          <cell r="H18">
            <v>4106</v>
          </cell>
          <cell r="I18">
            <v>4854</v>
          </cell>
          <cell r="J18">
            <v>3804</v>
          </cell>
          <cell r="K18">
            <v>2520</v>
          </cell>
          <cell r="L18">
            <v>3523</v>
          </cell>
          <cell r="M18">
            <v>4028</v>
          </cell>
          <cell r="N18">
            <v>4374</v>
          </cell>
          <cell r="O18">
            <v>5663</v>
          </cell>
          <cell r="P18">
            <v>6036</v>
          </cell>
          <cell r="Q18">
            <v>6133</v>
          </cell>
          <cell r="R18">
            <v>5252</v>
          </cell>
          <cell r="S18">
            <v>6253</v>
          </cell>
          <cell r="T18">
            <v>4921</v>
          </cell>
          <cell r="U18">
            <v>5289</v>
          </cell>
          <cell r="V18">
            <v>5189</v>
          </cell>
          <cell r="W18">
            <v>5746</v>
          </cell>
        </row>
        <row r="19">
          <cell r="D19">
            <v>1453</v>
          </cell>
          <cell r="E19">
            <v>2195</v>
          </cell>
          <cell r="F19">
            <v>3454</v>
          </cell>
          <cell r="G19">
            <v>4490</v>
          </cell>
          <cell r="H19">
            <v>7785</v>
          </cell>
          <cell r="I19">
            <v>9421</v>
          </cell>
          <cell r="J19">
            <v>7721</v>
          </cell>
          <cell r="K19">
            <v>5355</v>
          </cell>
          <cell r="L19">
            <v>7531</v>
          </cell>
          <cell r="M19">
            <v>8168</v>
          </cell>
          <cell r="N19">
            <v>12254</v>
          </cell>
          <cell r="O19">
            <v>12599</v>
          </cell>
          <cell r="P19">
            <v>14065</v>
          </cell>
          <cell r="Q19">
            <v>17681</v>
          </cell>
          <cell r="R19">
            <v>14569</v>
          </cell>
          <cell r="S19">
            <v>18760</v>
          </cell>
          <cell r="T19">
            <v>23150</v>
          </cell>
          <cell r="U19">
            <v>16978</v>
          </cell>
          <cell r="V19">
            <v>21863</v>
          </cell>
          <cell r="W19">
            <v>22074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-375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D21">
            <v>1453</v>
          </cell>
          <cell r="E21">
            <v>2195</v>
          </cell>
          <cell r="F21">
            <v>3454</v>
          </cell>
          <cell r="G21">
            <v>4490</v>
          </cell>
          <cell r="H21">
            <v>7785</v>
          </cell>
          <cell r="I21">
            <v>9421</v>
          </cell>
          <cell r="J21">
            <v>7346</v>
          </cell>
          <cell r="K21">
            <v>5355</v>
          </cell>
          <cell r="L21">
            <v>7531</v>
          </cell>
          <cell r="M21">
            <v>8168</v>
          </cell>
          <cell r="N21">
            <v>12254</v>
          </cell>
          <cell r="O21">
            <v>12599</v>
          </cell>
          <cell r="P21">
            <v>14065</v>
          </cell>
          <cell r="Q21">
            <v>17681</v>
          </cell>
          <cell r="R21">
            <v>14569</v>
          </cell>
          <cell r="S21">
            <v>18760</v>
          </cell>
          <cell r="T21">
            <v>23150</v>
          </cell>
          <cell r="U21">
            <v>16978</v>
          </cell>
          <cell r="V21">
            <v>21863</v>
          </cell>
          <cell r="W21">
            <v>22074</v>
          </cell>
        </row>
        <row r="22">
          <cell r="D22">
            <v>0</v>
          </cell>
          <cell r="E22">
            <v>0</v>
          </cell>
          <cell r="F22">
            <v>-15</v>
          </cell>
          <cell r="G22">
            <v>-28</v>
          </cell>
          <cell r="H22">
            <v>-28</v>
          </cell>
          <cell r="I22">
            <v>-13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D23">
            <v>1453</v>
          </cell>
          <cell r="E23">
            <v>2195</v>
          </cell>
          <cell r="F23">
            <v>3439</v>
          </cell>
          <cell r="G23">
            <v>4462</v>
          </cell>
          <cell r="H23">
            <v>7757</v>
          </cell>
          <cell r="I23">
            <v>9408</v>
          </cell>
          <cell r="J23">
            <v>7346</v>
          </cell>
          <cell r="K23">
            <v>5355</v>
          </cell>
          <cell r="L23">
            <v>7531</v>
          </cell>
          <cell r="M23">
            <v>8168</v>
          </cell>
          <cell r="N23">
            <v>12254</v>
          </cell>
          <cell r="O23">
            <v>12599</v>
          </cell>
          <cell r="P23">
            <v>14065</v>
          </cell>
          <cell r="Q23">
            <v>17681</v>
          </cell>
          <cell r="R23">
            <v>14569</v>
          </cell>
          <cell r="S23">
            <v>18760</v>
          </cell>
          <cell r="T23">
            <v>23150</v>
          </cell>
          <cell r="U23">
            <v>16978</v>
          </cell>
          <cell r="V23">
            <v>21863</v>
          </cell>
          <cell r="W23">
            <v>22074</v>
          </cell>
        </row>
        <row r="24">
          <cell r="D24">
            <v>0.16</v>
          </cell>
          <cell r="E24">
            <v>0.23</v>
          </cell>
          <cell r="F24">
            <v>0.36</v>
          </cell>
          <cell r="G24">
            <v>0.46</v>
          </cell>
          <cell r="H24">
            <v>0.77</v>
          </cell>
          <cell r="I24">
            <v>0.91</v>
          </cell>
          <cell r="J24">
            <v>0.72</v>
          </cell>
          <cell r="K24">
            <v>0.5</v>
          </cell>
          <cell r="L24">
            <v>0.7</v>
          </cell>
          <cell r="M24">
            <v>0.76</v>
          </cell>
          <cell r="N24">
            <v>1.1299999999999999</v>
          </cell>
          <cell r="O24">
            <v>1.21</v>
          </cell>
          <cell r="P24">
            <v>1.44</v>
          </cell>
          <cell r="Q24">
            <v>1.9</v>
          </cell>
          <cell r="R24">
            <v>1.63</v>
          </cell>
          <cell r="S24">
            <v>2.13</v>
          </cell>
          <cell r="T24">
            <v>2.73</v>
          </cell>
          <cell r="U24">
            <v>2.02</v>
          </cell>
          <cell r="V24">
            <v>2.61</v>
          </cell>
          <cell r="W24">
            <v>2.66</v>
          </cell>
        </row>
        <row r="25">
          <cell r="D25">
            <v>0.14000000000000001</v>
          </cell>
          <cell r="E25">
            <v>0.21</v>
          </cell>
          <cell r="F25">
            <v>0.33</v>
          </cell>
          <cell r="G25">
            <v>0.42</v>
          </cell>
          <cell r="H25">
            <v>0.71</v>
          </cell>
          <cell r="I25">
            <v>0.85</v>
          </cell>
          <cell r="J25">
            <v>0.69</v>
          </cell>
          <cell r="K25">
            <v>0.48</v>
          </cell>
          <cell r="L25">
            <v>0.69</v>
          </cell>
          <cell r="M25">
            <v>0.75</v>
          </cell>
          <cell r="N25">
            <v>1.1200000000000001</v>
          </cell>
          <cell r="O25">
            <v>1.2</v>
          </cell>
          <cell r="P25">
            <v>1.42</v>
          </cell>
          <cell r="Q25">
            <v>1.87</v>
          </cell>
          <cell r="R25">
            <v>1.62</v>
          </cell>
          <cell r="S25">
            <v>2.1</v>
          </cell>
          <cell r="T25">
            <v>2.69</v>
          </cell>
          <cell r="U25">
            <v>2</v>
          </cell>
          <cell r="V25">
            <v>2.58</v>
          </cell>
          <cell r="W25">
            <v>2.63</v>
          </cell>
        </row>
        <row r="26">
          <cell r="D26">
            <v>0.16</v>
          </cell>
          <cell r="E26">
            <v>0.23</v>
          </cell>
          <cell r="F26">
            <v>0.36</v>
          </cell>
          <cell r="G26">
            <v>0.46</v>
          </cell>
          <cell r="H26">
            <v>0.77</v>
          </cell>
          <cell r="I26">
            <v>0.91</v>
          </cell>
          <cell r="J26">
            <v>0.69</v>
          </cell>
          <cell r="K26">
            <v>0.5</v>
          </cell>
          <cell r="L26">
            <v>0.7</v>
          </cell>
          <cell r="M26">
            <v>0.76</v>
          </cell>
          <cell r="N26">
            <v>1.1299999999999999</v>
          </cell>
          <cell r="O26">
            <v>1.21</v>
          </cell>
          <cell r="P26">
            <v>1.44</v>
          </cell>
          <cell r="Q26">
            <v>1.9</v>
          </cell>
          <cell r="R26">
            <v>1.63</v>
          </cell>
          <cell r="S26">
            <v>2.13</v>
          </cell>
          <cell r="T26">
            <v>2.73</v>
          </cell>
          <cell r="U26">
            <v>2.02</v>
          </cell>
          <cell r="V26">
            <v>2.61</v>
          </cell>
          <cell r="W26">
            <v>2.66</v>
          </cell>
        </row>
        <row r="27">
          <cell r="D27">
            <v>0.14000000000000001</v>
          </cell>
          <cell r="E27">
            <v>0.21</v>
          </cell>
          <cell r="F27">
            <v>0.33</v>
          </cell>
          <cell r="G27">
            <v>0.42</v>
          </cell>
          <cell r="H27">
            <v>0.71</v>
          </cell>
          <cell r="I27">
            <v>0.85</v>
          </cell>
          <cell r="J27">
            <v>0.66</v>
          </cell>
          <cell r="K27">
            <v>0.48</v>
          </cell>
          <cell r="L27">
            <v>0.69</v>
          </cell>
          <cell r="M27">
            <v>0.75</v>
          </cell>
          <cell r="N27">
            <v>1.1200000000000001</v>
          </cell>
          <cell r="O27">
            <v>1.2</v>
          </cell>
          <cell r="P27">
            <v>1.42</v>
          </cell>
          <cell r="Q27">
            <v>1.87</v>
          </cell>
          <cell r="R27">
            <v>1.62</v>
          </cell>
          <cell r="S27">
            <v>2.1</v>
          </cell>
          <cell r="T27">
            <v>2.69</v>
          </cell>
          <cell r="U27">
            <v>2</v>
          </cell>
          <cell r="V27">
            <v>2.58</v>
          </cell>
          <cell r="W27">
            <v>2.63</v>
          </cell>
        </row>
      </sheetData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id="1" name="Table27" displayName="Table27" ref="B61:G64" totalsRowShown="0" headerRowDxfId="24" dataDxfId="23" headerRowCellStyle="Normal_fcffginzu">
  <autoFilter ref="B61:G64"/>
  <tableColumns count="6">
    <tableColumn id="1" name="Item" dataDxfId="22"/>
    <tableColumn id="2" name="Bezeichnung" dataDxfId="21"/>
    <tableColumn id="3" name="Unit/Einheit" dataDxfId="20"/>
    <tableColumn id="4" name="Konservativ" dataDxfId="19"/>
    <tableColumn id="5" name="Basis" dataDxfId="18"/>
    <tableColumn id="6" name="Ambitioniert" dataDxfId="17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Table31" displayName="Table31" ref="B67:G70" totalsRowShown="0" headerRowDxfId="16" dataDxfId="15" headerRowCellStyle="Normal_fcffginzu">
  <autoFilter ref="B67:G70"/>
  <tableColumns count="6">
    <tableColumn id="1" name="Item" dataDxfId="14"/>
    <tableColumn id="2" name="Bezeichnung" dataDxfId="13"/>
    <tableColumn id="3" name="Unit/Einheit" dataDxfId="12"/>
    <tableColumn id="4" name="Konservativ" dataDxfId="11"/>
    <tableColumn id="5" name="Basis" dataDxfId="10"/>
    <tableColumn id="6" name="Ambitioniert" data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Z74"/>
  <sheetViews>
    <sheetView showGridLines="0" tabSelected="1" zoomScaleNormal="100" workbookViewId="0">
      <selection activeCell="J23" sqref="J23"/>
    </sheetView>
  </sheetViews>
  <sheetFormatPr defaultRowHeight="12.5"/>
  <cols>
    <col min="1" max="1" width="2.54296875" customWidth="1"/>
    <col min="2" max="2" width="32.81640625" customWidth="1"/>
    <col min="3" max="3" width="24.1796875" customWidth="1"/>
    <col min="4" max="4" width="13.453125" customWidth="1"/>
    <col min="5" max="6" width="13.7265625" customWidth="1"/>
    <col min="7" max="8" width="14.26953125" customWidth="1"/>
    <col min="9" max="9" width="14.08984375" customWidth="1"/>
    <col min="10" max="10" width="13.1796875" customWidth="1"/>
    <col min="11" max="11" width="13.26953125" customWidth="1"/>
    <col min="12" max="12" width="12.6328125" customWidth="1"/>
    <col min="13" max="15" width="11.90625" customWidth="1"/>
    <col min="16" max="18" width="12.36328125" customWidth="1"/>
    <col min="19" max="21" width="12.26953125" customWidth="1"/>
  </cols>
  <sheetData>
    <row r="1" spans="1:2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">
      <c r="A2" s="1"/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">
      <c r="A5" s="4"/>
      <c r="B5" s="5" t="s">
        <v>67</v>
      </c>
      <c r="C5" t="s">
        <v>1</v>
      </c>
      <c r="D5" s="6" t="s">
        <v>66</v>
      </c>
      <c r="E5" s="7" t="s">
        <v>2</v>
      </c>
      <c r="F5" s="8" t="s">
        <v>3</v>
      </c>
      <c r="G5" s="8" t="s">
        <v>4</v>
      </c>
      <c r="H5" s="9" t="s">
        <v>5</v>
      </c>
      <c r="I5" s="10"/>
      <c r="J5" s="11" t="s">
        <v>6</v>
      </c>
      <c r="K5" s="11" t="s">
        <v>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">
      <c r="A6" s="4"/>
      <c r="B6" s="5" t="s">
        <v>68</v>
      </c>
      <c r="C6" s="12" t="s">
        <v>8</v>
      </c>
      <c r="D6" s="74" t="s">
        <v>64</v>
      </c>
      <c r="E6" s="13">
        <f>F69</f>
        <v>17.410273537631358</v>
      </c>
      <c r="F6" s="82">
        <v>12.4</v>
      </c>
      <c r="G6" s="14">
        <f>(E6-F6)/E6</f>
        <v>0.28777684203536058</v>
      </c>
      <c r="H6" s="15">
        <f>E6*0.75</f>
        <v>13.05770515322352</v>
      </c>
      <c r="I6" s="1"/>
      <c r="J6" s="16">
        <f>F69*0.75</f>
        <v>13.05770515322352</v>
      </c>
      <c r="K6" s="17">
        <v>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18">
        <v>42973</v>
      </c>
      <c r="C7" s="12" t="s">
        <v>9</v>
      </c>
      <c r="D7" s="19" t="s">
        <v>65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12" t="s">
        <v>10</v>
      </c>
      <c r="D8" s="20" t="str">
        <f>D6&amp;" "&amp;D7</f>
        <v>EUR million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10" spans="1:26" ht="18">
      <c r="B10" s="21" t="s">
        <v>11</v>
      </c>
    </row>
    <row r="11" spans="1:26" ht="15.5">
      <c r="B11" s="22" t="s">
        <v>11</v>
      </c>
      <c r="L11" s="104" t="s">
        <v>12</v>
      </c>
      <c r="M11" s="105"/>
      <c r="N11" s="105"/>
      <c r="O11" s="106"/>
      <c r="P11" s="104" t="s">
        <v>13</v>
      </c>
      <c r="Q11" s="105"/>
      <c r="R11" s="106"/>
      <c r="S11" s="104" t="s">
        <v>84</v>
      </c>
      <c r="T11" s="105"/>
      <c r="U11" s="106"/>
    </row>
    <row r="12" spans="1:26" ht="39.5" thickBot="1">
      <c r="B12" s="23" t="s">
        <v>14</v>
      </c>
      <c r="C12" s="23" t="s">
        <v>15</v>
      </c>
      <c r="D12" s="49" t="s">
        <v>73</v>
      </c>
      <c r="E12" s="49" t="s">
        <v>77</v>
      </c>
      <c r="F12" s="49" t="s">
        <v>83</v>
      </c>
      <c r="G12" s="49" t="s">
        <v>78</v>
      </c>
      <c r="H12" s="49" t="s">
        <v>79</v>
      </c>
      <c r="I12" s="49" t="s">
        <v>85</v>
      </c>
      <c r="J12" s="49" t="s">
        <v>80</v>
      </c>
      <c r="K12" s="49" t="s">
        <v>81</v>
      </c>
      <c r="L12" s="102" t="s">
        <v>82</v>
      </c>
      <c r="M12" s="102" t="s">
        <v>16</v>
      </c>
      <c r="N12" s="102" t="s">
        <v>17</v>
      </c>
      <c r="O12" s="102" t="s">
        <v>18</v>
      </c>
      <c r="P12" s="102" t="s">
        <v>16</v>
      </c>
      <c r="Q12" s="102" t="s">
        <v>17</v>
      </c>
      <c r="R12" s="103" t="s">
        <v>18</v>
      </c>
      <c r="S12" s="102" t="s">
        <v>16</v>
      </c>
      <c r="T12" s="102" t="s">
        <v>17</v>
      </c>
      <c r="U12" s="103" t="s">
        <v>18</v>
      </c>
    </row>
    <row r="13" spans="1:26" ht="15.5" customHeight="1">
      <c r="B13" s="25" t="s">
        <v>70</v>
      </c>
      <c r="C13" s="26" t="str">
        <f>D8</f>
        <v>EUR million</v>
      </c>
      <c r="D13" s="90">
        <v>40813</v>
      </c>
      <c r="E13" s="90">
        <v>130</v>
      </c>
      <c r="F13" s="90">
        <f>E13+D13/$D$20*$E$21</f>
        <v>2190.653881051077</v>
      </c>
      <c r="G13" s="86">
        <f>E13/D13</f>
        <v>3.1852595986572906E-3</v>
      </c>
      <c r="H13" s="91">
        <v>5.0000000000000001E-3</v>
      </c>
      <c r="I13" s="75">
        <f>H13*D13</f>
        <v>204.065</v>
      </c>
      <c r="J13" s="75">
        <f>I13+(D13/$D$20)*$E$21</f>
        <v>2264.718881051077</v>
      </c>
      <c r="K13" s="75">
        <f>$J$19*J13/SUM($J$13:$J$18)+J13</f>
        <v>2166.378289678174</v>
      </c>
      <c r="L13" s="91" t="s">
        <v>83</v>
      </c>
      <c r="M13" s="27">
        <f>0.8*N13</f>
        <v>2.8000000000000003</v>
      </c>
      <c r="N13" s="27">
        <f>D30</f>
        <v>3.5</v>
      </c>
      <c r="O13" s="27">
        <f>1.2*N13</f>
        <v>4.2</v>
      </c>
      <c r="P13" s="75">
        <f t="shared" ref="P13:R16" si="0">IF($L13="EBITDA",M13*$J13,IF($L$13="EBIT",M13*$I13,IF($L13="Umsatz",M13*$D13)))</f>
        <v>6341.2128669430158</v>
      </c>
      <c r="Q13" s="75">
        <f t="shared" si="0"/>
        <v>7926.5160836787691</v>
      </c>
      <c r="R13" s="75">
        <f t="shared" si="0"/>
        <v>9511.8193004145232</v>
      </c>
      <c r="S13" s="27">
        <f t="shared" ref="S13:U16" si="1">P13/E$62</f>
        <v>3.2581932545926215</v>
      </c>
      <c r="T13" s="27">
        <f t="shared" si="1"/>
        <v>4.0727415682407768</v>
      </c>
      <c r="U13" s="95">
        <f t="shared" si="1"/>
        <v>4.8872898818889325</v>
      </c>
    </row>
    <row r="14" spans="1:26">
      <c r="B14" s="28" t="s">
        <v>75</v>
      </c>
      <c r="C14" s="29" t="str">
        <f>C13</f>
        <v>EUR million</v>
      </c>
      <c r="D14" s="89">
        <v>60000</v>
      </c>
      <c r="E14" s="89">
        <v>4800</v>
      </c>
      <c r="F14" s="89">
        <f t="shared" ref="F14:F16" si="2">E14+D14/$D$20*$E$21</f>
        <v>7829.4081019053883</v>
      </c>
      <c r="G14" s="87">
        <f>E14/D14</f>
        <v>0.08</v>
      </c>
      <c r="H14" s="92">
        <v>0.08</v>
      </c>
      <c r="I14" s="76">
        <f>H14*D14</f>
        <v>4800</v>
      </c>
      <c r="J14" s="76">
        <f>I14+(D14/$D$20)*$E$21</f>
        <v>7829.4081019053883</v>
      </c>
      <c r="K14" s="76">
        <f t="shared" ref="K14:K15" si="3">$J$19*J14/SUM($J$13:$J$18)+J14</f>
        <v>7489.4327392750238</v>
      </c>
      <c r="L14" s="92" t="s">
        <v>83</v>
      </c>
      <c r="M14" s="30">
        <f t="shared" ref="M14:M16" si="4">0.8*N14</f>
        <v>3.2</v>
      </c>
      <c r="N14" s="30">
        <f>D38</f>
        <v>4</v>
      </c>
      <c r="O14" s="30">
        <f t="shared" ref="O14:O16" si="5">1.2*N14</f>
        <v>4.8</v>
      </c>
      <c r="P14" s="76">
        <f t="shared" si="0"/>
        <v>25054.105926097243</v>
      </c>
      <c r="Q14" s="76">
        <f t="shared" si="0"/>
        <v>31317.632407621553</v>
      </c>
      <c r="R14" s="76">
        <f t="shared" si="0"/>
        <v>37581.15888914586</v>
      </c>
      <c r="S14" s="30">
        <f t="shared" si="1"/>
        <v>12.873108132642132</v>
      </c>
      <c r="T14" s="30">
        <f t="shared" si="1"/>
        <v>16.091385165802663</v>
      </c>
      <c r="U14" s="96">
        <f t="shared" si="1"/>
        <v>19.309662198963196</v>
      </c>
    </row>
    <row r="15" spans="1:26">
      <c r="B15" s="31" t="s">
        <v>69</v>
      </c>
      <c r="C15" s="32" t="str">
        <f t="shared" ref="C15:C16" si="6">C14</f>
        <v>EUR million</v>
      </c>
      <c r="D15" s="31">
        <v>4479</v>
      </c>
      <c r="E15" s="31">
        <v>539</v>
      </c>
      <c r="F15" s="101">
        <f t="shared" si="2"/>
        <v>765.14531480723724</v>
      </c>
      <c r="G15" s="88">
        <f>E15/D15</f>
        <v>0.12033936146461263</v>
      </c>
      <c r="H15" s="93">
        <v>0.12</v>
      </c>
      <c r="I15" s="78">
        <f>H15*D15</f>
        <v>537.48</v>
      </c>
      <c r="J15" s="78">
        <f>I15+(D15/$D$20)*$E$21</f>
        <v>763.62531480723726</v>
      </c>
      <c r="K15" s="78">
        <f t="shared" si="3"/>
        <v>730.46651277057549</v>
      </c>
      <c r="L15" s="93" t="s">
        <v>83</v>
      </c>
      <c r="M15" s="33">
        <f t="shared" si="4"/>
        <v>4.8000000000000007</v>
      </c>
      <c r="N15" s="33">
        <f>D46</f>
        <v>6</v>
      </c>
      <c r="O15" s="33">
        <f t="shared" si="5"/>
        <v>7.1999999999999993</v>
      </c>
      <c r="P15" s="78">
        <f t="shared" si="0"/>
        <v>3665.4015110747396</v>
      </c>
      <c r="Q15" s="78">
        <f t="shared" si="0"/>
        <v>4581.7518888434233</v>
      </c>
      <c r="R15" s="78">
        <f t="shared" si="0"/>
        <v>5498.102266612108</v>
      </c>
      <c r="S15" s="33">
        <f t="shared" si="1"/>
        <v>1.8833284309086165</v>
      </c>
      <c r="T15" s="33">
        <f t="shared" si="1"/>
        <v>2.35416053863577</v>
      </c>
      <c r="U15" s="97">
        <f t="shared" si="1"/>
        <v>2.824992646362924</v>
      </c>
    </row>
    <row r="16" spans="1:26">
      <c r="B16" s="31" t="s">
        <v>71</v>
      </c>
      <c r="C16" s="29" t="str">
        <f t="shared" si="6"/>
        <v>EUR million</v>
      </c>
      <c r="D16" s="31">
        <v>10059</v>
      </c>
      <c r="E16" s="31">
        <v>429</v>
      </c>
      <c r="F16" s="101">
        <f t="shared" si="2"/>
        <v>936.88026828443844</v>
      </c>
      <c r="G16" s="87">
        <f>E16/D16</f>
        <v>4.2648374589919477E-2</v>
      </c>
      <c r="H16" s="93">
        <v>0.04</v>
      </c>
      <c r="I16" s="76">
        <f>H16*D16</f>
        <v>402.36</v>
      </c>
      <c r="J16" s="76">
        <f>I16+(D16/$D$20)*$E$21</f>
        <v>910.24026828443834</v>
      </c>
      <c r="K16" s="76">
        <f>$J$19*J16/SUM($J$13:$J$18)+J16</f>
        <v>870.71502432436796</v>
      </c>
      <c r="L16" s="93" t="s">
        <v>73</v>
      </c>
      <c r="M16" s="30">
        <f t="shared" si="4"/>
        <v>0.32000000000000006</v>
      </c>
      <c r="N16" s="30">
        <f>H30</f>
        <v>0.4</v>
      </c>
      <c r="O16" s="30">
        <f t="shared" si="5"/>
        <v>0.48</v>
      </c>
      <c r="P16" s="76">
        <f t="shared" si="0"/>
        <v>3218.8800000000006</v>
      </c>
      <c r="Q16" s="76">
        <f t="shared" si="0"/>
        <v>4023.6000000000004</v>
      </c>
      <c r="R16" s="76">
        <f t="shared" si="0"/>
        <v>4828.32</v>
      </c>
      <c r="S16" s="30">
        <f t="shared" si="1"/>
        <v>1.6539001802030731</v>
      </c>
      <c r="T16" s="30">
        <f t="shared" si="1"/>
        <v>2.0673752252538411</v>
      </c>
      <c r="U16" s="96">
        <f t="shared" si="1"/>
        <v>2.4808502703046091</v>
      </c>
    </row>
    <row r="17" spans="2:21">
      <c r="B17" s="31"/>
      <c r="C17" s="32"/>
      <c r="D17" s="31"/>
      <c r="E17" s="31"/>
      <c r="F17" s="101"/>
      <c r="G17" s="88"/>
      <c r="H17" s="93"/>
      <c r="I17" s="78"/>
      <c r="J17" s="78"/>
      <c r="K17" s="78"/>
      <c r="L17" s="93"/>
      <c r="M17" s="33"/>
      <c r="N17" s="33"/>
      <c r="O17" s="33"/>
      <c r="P17" s="78"/>
      <c r="Q17" s="78"/>
      <c r="R17" s="79"/>
      <c r="S17" s="78"/>
      <c r="T17" s="78"/>
      <c r="U17" s="98"/>
    </row>
    <row r="18" spans="2:21">
      <c r="B18" s="28"/>
      <c r="C18" s="29"/>
      <c r="D18" s="28"/>
      <c r="E18" s="28"/>
      <c r="F18" s="28"/>
      <c r="G18" s="87"/>
      <c r="H18" s="92"/>
      <c r="I18" s="76"/>
      <c r="J18" s="76"/>
      <c r="K18" s="76"/>
      <c r="L18" s="92"/>
      <c r="M18" s="30"/>
      <c r="N18" s="30"/>
      <c r="O18" s="30"/>
      <c r="P18" s="76"/>
      <c r="Q18" s="76"/>
      <c r="R18" s="77"/>
      <c r="S18" s="76"/>
      <c r="T18" s="76"/>
      <c r="U18" s="99"/>
    </row>
    <row r="19" spans="2:21">
      <c r="B19" s="32" t="s">
        <v>74</v>
      </c>
      <c r="C19" s="32" t="str">
        <f>D8</f>
        <v>EUR million</v>
      </c>
      <c r="D19" s="31">
        <f>779-3712</f>
        <v>-2933</v>
      </c>
      <c r="E19" s="31">
        <f>-244-267</f>
        <v>-511</v>
      </c>
      <c r="F19" s="31">
        <f>-244-267</f>
        <v>-511</v>
      </c>
      <c r="G19" s="88">
        <f>E19/D19</f>
        <v>0.17422434367541767</v>
      </c>
      <c r="H19" s="93"/>
      <c r="I19" s="78">
        <f>E19</f>
        <v>-511</v>
      </c>
      <c r="J19" s="78">
        <f>F19</f>
        <v>-511</v>
      </c>
      <c r="K19" s="78" t="s">
        <v>19</v>
      </c>
      <c r="L19" s="93"/>
      <c r="M19" s="33" t="s">
        <v>19</v>
      </c>
      <c r="N19" s="33" t="s">
        <v>19</v>
      </c>
      <c r="O19" s="33" t="s">
        <v>19</v>
      </c>
      <c r="P19" s="78" t="s">
        <v>19</v>
      </c>
      <c r="Q19" s="78" t="s">
        <v>19</v>
      </c>
      <c r="R19" s="78" t="s">
        <v>19</v>
      </c>
      <c r="S19" s="78" t="s">
        <v>19</v>
      </c>
      <c r="T19" s="78" t="s">
        <v>19</v>
      </c>
      <c r="U19" s="100" t="s">
        <v>19</v>
      </c>
    </row>
    <row r="20" spans="2:21" s="34" customFormat="1" ht="13">
      <c r="B20" s="35" t="s">
        <v>20</v>
      </c>
      <c r="C20" s="35"/>
      <c r="D20" s="35">
        <f>SUM(D13:D19)</f>
        <v>112418</v>
      </c>
      <c r="E20" s="35">
        <f>SUM(E13:E19)</f>
        <v>5387</v>
      </c>
      <c r="F20" s="80">
        <f>SUM(F13:F19)</f>
        <v>11211.087566048142</v>
      </c>
      <c r="G20" s="35"/>
      <c r="H20" s="35"/>
      <c r="I20" s="80">
        <f>SUM(I13:I19)</f>
        <v>5432.9049999999997</v>
      </c>
      <c r="J20" s="80">
        <f>SUM(J13:J19)</f>
        <v>11256.992566048142</v>
      </c>
      <c r="K20" s="80">
        <f>SUM(K13:K19)</f>
        <v>11256.992566048142</v>
      </c>
      <c r="L20" s="35"/>
      <c r="M20" s="107">
        <f t="shared" ref="M20:N20" si="7">P20/$K$20</f>
        <v>3.4005175076306688</v>
      </c>
      <c r="N20" s="107">
        <f t="shared" si="7"/>
        <v>4.2506468845383356</v>
      </c>
      <c r="O20" s="107">
        <f>R20/$K$20</f>
        <v>5.1007762614460024</v>
      </c>
      <c r="P20" s="80">
        <f>SUM(P13:P18)</f>
        <v>38279.600304114996</v>
      </c>
      <c r="Q20" s="80">
        <f t="shared" ref="Q20:R20" si="8">SUM(Q13:Q18)</f>
        <v>47849.500380143741</v>
      </c>
      <c r="R20" s="81">
        <f t="shared" si="8"/>
        <v>57419.400456172487</v>
      </c>
      <c r="S20" s="80">
        <f>SUM(S13:S18)</f>
        <v>19.668529998346443</v>
      </c>
      <c r="T20" s="80">
        <f t="shared" ref="T20:U20" si="9">SUM(T13:T18)</f>
        <v>24.58566249793305</v>
      </c>
      <c r="U20" s="81">
        <f t="shared" si="9"/>
        <v>29.502794997519658</v>
      </c>
    </row>
    <row r="21" spans="2:21" s="36" customFormat="1" ht="13">
      <c r="B21" s="37" t="s">
        <v>76</v>
      </c>
      <c r="C21" s="38"/>
      <c r="D21" s="38"/>
      <c r="E21" s="37">
        <v>5676</v>
      </c>
      <c r="F21" s="38"/>
      <c r="G21" s="38"/>
      <c r="H21" s="38"/>
      <c r="I21" s="38"/>
      <c r="J21" s="38"/>
      <c r="K21" s="38"/>
      <c r="L21" s="38"/>
      <c r="M21" s="38"/>
    </row>
    <row r="23" spans="2:21" ht="15.5">
      <c r="B23" s="22" t="s">
        <v>21</v>
      </c>
    </row>
    <row r="24" spans="2:21" ht="65.5" thickBot="1">
      <c r="B24" s="23" t="str">
        <f>B13</f>
        <v>Other Mass Market</v>
      </c>
      <c r="C24" s="23" t="s">
        <v>22</v>
      </c>
      <c r="D24" s="24" t="s">
        <v>23</v>
      </c>
      <c r="F24" s="23" t="str">
        <f>B16</f>
        <v>Components (Magneti Marelli, Comau, Teksid)</v>
      </c>
      <c r="G24" s="23" t="s">
        <v>22</v>
      </c>
      <c r="H24" s="24" t="s">
        <v>23</v>
      </c>
    </row>
    <row r="25" spans="2:21">
      <c r="B25" s="25" t="s">
        <v>27</v>
      </c>
      <c r="C25" s="25"/>
      <c r="D25" s="44" t="str">
        <f>IFERROR(_xll.EnterpriseValue(C25)/_xll.EBITDA(C25),"N/A")</f>
        <v>N/A</v>
      </c>
      <c r="F25" s="25" t="s">
        <v>27</v>
      </c>
      <c r="G25" s="25"/>
      <c r="H25" s="39" t="str">
        <f>IFERROR(_xll.EnterpriseValue(G25)/_xll.EBITDA(G25),"N/A")</f>
        <v>N/A</v>
      </c>
    </row>
    <row r="26" spans="2:21">
      <c r="B26" s="28" t="s">
        <v>28</v>
      </c>
      <c r="C26" s="28"/>
      <c r="D26" s="40" t="str">
        <f>IFERROR(_xll.EnterpriseValue(C26)/_xll.EBITDA(C26),"N/A")</f>
        <v>N/A</v>
      </c>
      <c r="F26" s="28" t="s">
        <v>28</v>
      </c>
      <c r="G26" s="28"/>
      <c r="H26" s="40" t="str">
        <f>IFERROR(_xll.EnterpriseValue(G26)/_xll.EBITDA(G26),"N/A")</f>
        <v>N/A</v>
      </c>
    </row>
    <row r="27" spans="2:21">
      <c r="B27" s="31" t="s">
        <v>29</v>
      </c>
      <c r="C27" s="31"/>
      <c r="D27" s="41" t="str">
        <f>IFERROR(_xll.EnterpriseValue(C27)/_xll.EBITDA(C27),"N/A")</f>
        <v>N/A</v>
      </c>
      <c r="F27" s="31" t="s">
        <v>29</v>
      </c>
      <c r="G27" s="31"/>
      <c r="H27" s="41" t="str">
        <f>IFERROR(_xll.EnterpriseValue(G27)/_xll.EBITDA(G27),"N/A")</f>
        <v>N/A</v>
      </c>
    </row>
    <row r="28" spans="2:21">
      <c r="B28" s="28" t="s">
        <v>24</v>
      </c>
      <c r="C28" s="28"/>
      <c r="D28" s="42" t="str">
        <f>IFERROR(_xll.EnterpriseValue(C28)/_xll.EBITDA(C28),"N/A")</f>
        <v>N/A</v>
      </c>
      <c r="F28" s="28" t="s">
        <v>24</v>
      </c>
      <c r="G28" s="28"/>
      <c r="H28" s="42" t="str">
        <f>IFERROR(_xll.EnterpriseValue(G28)/_xll.EBITDA(G28),"N/A")</f>
        <v>N/A</v>
      </c>
    </row>
    <row r="29" spans="2:21">
      <c r="B29" s="31" t="s">
        <v>72</v>
      </c>
      <c r="C29" s="31"/>
      <c r="D29" s="41">
        <v>3.5</v>
      </c>
      <c r="F29" s="31" t="s">
        <v>72</v>
      </c>
      <c r="G29" s="31"/>
      <c r="H29" s="41">
        <v>0.4</v>
      </c>
    </row>
    <row r="30" spans="2:21" ht="13">
      <c r="B30" s="35" t="s">
        <v>26</v>
      </c>
      <c r="C30" s="35"/>
      <c r="D30" s="43">
        <f>AVERAGE(D25:D29)</f>
        <v>3.5</v>
      </c>
      <c r="F30" s="35" t="s">
        <v>26</v>
      </c>
      <c r="G30" s="35"/>
      <c r="H30" s="43">
        <f>AVERAGE(H25:H29)</f>
        <v>0.4</v>
      </c>
    </row>
    <row r="32" spans="2:21" ht="13.5" thickBot="1">
      <c r="B32" s="23" t="str">
        <f>B14</f>
        <v>SUV (Jeep, RAM)</v>
      </c>
      <c r="C32" s="23" t="s">
        <v>22</v>
      </c>
      <c r="D32" s="24" t="s">
        <v>23</v>
      </c>
      <c r="F32" s="23">
        <f>B17</f>
        <v>0</v>
      </c>
      <c r="G32" s="23" t="s">
        <v>22</v>
      </c>
      <c r="H32" s="24" t="s">
        <v>23</v>
      </c>
    </row>
    <row r="33" spans="2:8">
      <c r="B33" s="25" t="s">
        <v>27</v>
      </c>
      <c r="C33" s="25"/>
      <c r="D33" s="44" t="str">
        <f>IFERROR(_xll.EnterpriseValue(C33)/_xll.EBITDA(C33),"N/A")</f>
        <v>N/A</v>
      </c>
      <c r="F33" s="25" t="s">
        <v>27</v>
      </c>
      <c r="G33" s="25"/>
      <c r="H33" s="39" t="str">
        <f>IFERROR(_xll.EnterpriseValue(G33)/_xll.EBITDA(G33),"N/A")</f>
        <v>N/A</v>
      </c>
    </row>
    <row r="34" spans="2:8">
      <c r="B34" s="28" t="s">
        <v>28</v>
      </c>
      <c r="C34" s="28"/>
      <c r="D34" s="40" t="str">
        <f>IFERROR(_xll.EnterpriseValue(C34)/_xll.EBITDA(C34),"N/A")</f>
        <v>N/A</v>
      </c>
      <c r="F34" s="28" t="s">
        <v>28</v>
      </c>
      <c r="G34" s="28"/>
      <c r="H34" s="40" t="str">
        <f>IFERROR(_xll.EnterpriseValue(G34)/_xll.EBITDA(G34),"N/A")</f>
        <v>N/A</v>
      </c>
    </row>
    <row r="35" spans="2:8">
      <c r="B35" s="31" t="s">
        <v>29</v>
      </c>
      <c r="C35" s="31"/>
      <c r="D35" s="41" t="str">
        <f>IFERROR(_xll.EnterpriseValue(C35)/_xll.EBITDA(C35),"N/A")</f>
        <v>N/A</v>
      </c>
      <c r="F35" s="31" t="s">
        <v>29</v>
      </c>
      <c r="G35" s="31"/>
      <c r="H35" s="45" t="str">
        <f>IFERROR(_xll.EnterpriseValue(G35)/_xll.EBITDA(G35),"N/A")</f>
        <v>N/A</v>
      </c>
    </row>
    <row r="36" spans="2:8">
      <c r="B36" s="28" t="s">
        <v>24</v>
      </c>
      <c r="C36" s="28"/>
      <c r="D36" s="42" t="str">
        <f>IFERROR(_xll.EnterpriseValue(C36)/_xll.EBITDA(C36),"N/A")</f>
        <v>N/A</v>
      </c>
      <c r="F36" s="28" t="s">
        <v>24</v>
      </c>
      <c r="G36" s="28"/>
      <c r="H36" s="42" t="str">
        <f>IFERROR(_xll.EnterpriseValue(G36)/_xll.EBITDA(G36),"N/A")</f>
        <v>N/A</v>
      </c>
    </row>
    <row r="37" spans="2:8">
      <c r="B37" s="31" t="s">
        <v>72</v>
      </c>
      <c r="C37" s="31"/>
      <c r="D37" s="94">
        <v>4</v>
      </c>
      <c r="F37" s="31" t="s">
        <v>25</v>
      </c>
      <c r="G37" s="31"/>
      <c r="H37" s="41"/>
    </row>
    <row r="38" spans="2:8" ht="13">
      <c r="B38" s="35" t="s">
        <v>26</v>
      </c>
      <c r="C38" s="35"/>
      <c r="D38" s="43">
        <f>AVERAGE(D33:D37)</f>
        <v>4</v>
      </c>
      <c r="F38" s="35" t="s">
        <v>26</v>
      </c>
      <c r="G38" s="35"/>
      <c r="H38" s="43" t="e">
        <f>AVERAGE(H33:H37)</f>
        <v>#DIV/0!</v>
      </c>
    </row>
    <row r="40" spans="2:8" ht="13.5" thickBot="1">
      <c r="B40" s="23" t="str">
        <f>B15</f>
        <v>Sports (Maserati)</v>
      </c>
      <c r="C40" s="23" t="s">
        <v>22</v>
      </c>
      <c r="D40" s="24" t="s">
        <v>23</v>
      </c>
      <c r="F40" s="23">
        <f>B18</f>
        <v>0</v>
      </c>
      <c r="G40" s="23" t="s">
        <v>22</v>
      </c>
      <c r="H40" s="24" t="s">
        <v>23</v>
      </c>
    </row>
    <row r="41" spans="2:8">
      <c r="B41" s="25" t="s">
        <v>27</v>
      </c>
      <c r="C41" s="25"/>
      <c r="D41" s="44" t="str">
        <f>IFERROR(_xll.EnterpriseValue(C41)/_xll.EBITDA(C41),"N/A")</f>
        <v>N/A</v>
      </c>
      <c r="F41" s="25" t="s">
        <v>27</v>
      </c>
      <c r="G41" s="25"/>
      <c r="H41" s="39" t="str">
        <f>IFERROR(_xll.EnterpriseValue(G41)/_xll.EBITDA(G41),"N/A")</f>
        <v>N/A</v>
      </c>
    </row>
    <row r="42" spans="2:8">
      <c r="B42" s="28" t="s">
        <v>28</v>
      </c>
      <c r="C42" s="28"/>
      <c r="D42" s="40" t="str">
        <f>IFERROR(_xll.EnterpriseValue(C42)/_xll.EBITDA(C42),"N/A")</f>
        <v>N/A</v>
      </c>
      <c r="F42" s="28" t="s">
        <v>28</v>
      </c>
      <c r="G42" s="28"/>
      <c r="H42" s="40" t="str">
        <f>IFERROR(_xll.EnterpriseValue(G42)/_xll.EBITDA(G42),"N/A")</f>
        <v>N/A</v>
      </c>
    </row>
    <row r="43" spans="2:8">
      <c r="B43" s="31" t="s">
        <v>29</v>
      </c>
      <c r="C43" s="31"/>
      <c r="D43" s="41" t="str">
        <f>IFERROR(_xll.EnterpriseValue(C43)/_xll.EBITDA(C43),"N/A")</f>
        <v>N/A</v>
      </c>
      <c r="F43" s="31" t="s">
        <v>29</v>
      </c>
      <c r="G43" s="31"/>
      <c r="H43" s="41" t="str">
        <f>IFERROR(_xll.EnterpriseValue(G43)/_xll.EBITDA(G43),"N/A")</f>
        <v>N/A</v>
      </c>
    </row>
    <row r="44" spans="2:8">
      <c r="B44" s="28" t="s">
        <v>24</v>
      </c>
      <c r="C44" s="28"/>
      <c r="D44" s="42" t="str">
        <f>IFERROR(_xll.EnterpriseValue(C44)/_xll.EBITDA(C44),"N/A")</f>
        <v>N/A</v>
      </c>
      <c r="F44" s="28" t="s">
        <v>24</v>
      </c>
      <c r="G44" s="28"/>
      <c r="H44" s="42" t="str">
        <f>IFERROR(_xll.EnterpriseValue(G44)/_xll.EBITDA(G44),"N/A")</f>
        <v>N/A</v>
      </c>
    </row>
    <row r="45" spans="2:8">
      <c r="B45" s="31" t="s">
        <v>72</v>
      </c>
      <c r="C45" s="31"/>
      <c r="D45" s="41">
        <v>6</v>
      </c>
      <c r="F45" s="31" t="s">
        <v>25</v>
      </c>
      <c r="G45" s="31"/>
      <c r="H45" s="41"/>
    </row>
    <row r="46" spans="2:8" ht="13">
      <c r="B46" s="35" t="s">
        <v>26</v>
      </c>
      <c r="C46" s="35"/>
      <c r="D46" s="43">
        <f>AVERAGE(D41:D45)</f>
        <v>6</v>
      </c>
      <c r="F46" s="35" t="s">
        <v>26</v>
      </c>
      <c r="G46" s="35"/>
      <c r="H46" s="43">
        <f>IFERROR(AVERAGE(H41:H45),0)</f>
        <v>0</v>
      </c>
    </row>
    <row r="49" spans="2:7" ht="18">
      <c r="B49" s="21" t="s">
        <v>2</v>
      </c>
      <c r="C49" s="46"/>
      <c r="D49" s="47"/>
      <c r="E49" s="46"/>
      <c r="F49" s="48"/>
      <c r="G49" s="46"/>
    </row>
    <row r="50" spans="2:7" ht="15.5">
      <c r="B50" s="22" t="s">
        <v>30</v>
      </c>
      <c r="C50" s="46"/>
      <c r="D50" s="47"/>
      <c r="E50" s="46"/>
      <c r="F50" s="48"/>
      <c r="G50" s="46"/>
    </row>
    <row r="51" spans="2:7" ht="13.5" thickBot="1">
      <c r="B51" s="23" t="s">
        <v>31</v>
      </c>
      <c r="C51" s="23" t="s">
        <v>32</v>
      </c>
      <c r="D51" s="23" t="s">
        <v>33</v>
      </c>
      <c r="E51" s="49" t="s">
        <v>16</v>
      </c>
      <c r="F51" s="49" t="s">
        <v>17</v>
      </c>
      <c r="G51" s="50" t="s">
        <v>18</v>
      </c>
    </row>
    <row r="52" spans="2:7">
      <c r="B52" s="51" t="s">
        <v>34</v>
      </c>
      <c r="C52" s="51" t="s">
        <v>35</v>
      </c>
      <c r="D52" s="51" t="str">
        <f t="shared" ref="D52:D58" si="10">$D$8</f>
        <v>EUR million</v>
      </c>
      <c r="E52" s="52">
        <f>P20</f>
        <v>38279.600304114996</v>
      </c>
      <c r="F52" s="52">
        <f>Q20</f>
        <v>47849.500380143741</v>
      </c>
      <c r="G52" s="53">
        <f>R20</f>
        <v>57419.400456172487</v>
      </c>
    </row>
    <row r="53" spans="2:7">
      <c r="B53" s="54" t="s">
        <v>36</v>
      </c>
      <c r="C53" s="54" t="s">
        <v>37</v>
      </c>
      <c r="D53" s="54" t="str">
        <f t="shared" si="10"/>
        <v>EUR million</v>
      </c>
      <c r="E53" s="55">
        <f>F53</f>
        <v>20642</v>
      </c>
      <c r="F53" s="28">
        <f>1793+649+762+17318+120</f>
        <v>20642</v>
      </c>
      <c r="G53" s="56">
        <f>F53</f>
        <v>20642</v>
      </c>
    </row>
    <row r="54" spans="2:7">
      <c r="B54" s="57" t="s">
        <v>38</v>
      </c>
      <c r="C54" s="57" t="s">
        <v>39</v>
      </c>
      <c r="D54" s="57" t="str">
        <f t="shared" si="10"/>
        <v>EUR million</v>
      </c>
      <c r="E54" s="58">
        <f>E52+E53</f>
        <v>58921.600304114996</v>
      </c>
      <c r="F54" s="58">
        <f>F52+F53</f>
        <v>68491.500380143741</v>
      </c>
      <c r="G54" s="59">
        <f>G52+G53</f>
        <v>78061.400456172487</v>
      </c>
    </row>
    <row r="55" spans="2:7">
      <c r="B55" s="54" t="s">
        <v>40</v>
      </c>
      <c r="C55" s="54" t="s">
        <v>41</v>
      </c>
      <c r="D55" s="54" t="str">
        <f t="shared" si="10"/>
        <v>EUR million</v>
      </c>
      <c r="E55" s="55">
        <f>F55</f>
        <v>24745</v>
      </c>
      <c r="F55" s="28">
        <f>16111+16+7937+681</f>
        <v>24745</v>
      </c>
      <c r="G55" s="56">
        <f>F55</f>
        <v>24745</v>
      </c>
    </row>
    <row r="56" spans="2:7">
      <c r="B56" s="57" t="s">
        <v>42</v>
      </c>
      <c r="C56" s="57" t="s">
        <v>43</v>
      </c>
      <c r="D56" s="57" t="str">
        <f t="shared" si="10"/>
        <v>EUR million</v>
      </c>
      <c r="E56" s="58">
        <f>F56</f>
        <v>0</v>
      </c>
      <c r="F56" s="28"/>
      <c r="G56" s="59">
        <f>F56</f>
        <v>0</v>
      </c>
    </row>
    <row r="57" spans="2:7">
      <c r="B57" s="54" t="s">
        <v>44</v>
      </c>
      <c r="C57" s="54" t="s">
        <v>45</v>
      </c>
      <c r="D57" s="54" t="str">
        <f t="shared" si="10"/>
        <v>EUR million</v>
      </c>
      <c r="E57" s="55">
        <f>F57</f>
        <v>9862</v>
      </c>
      <c r="F57" s="28">
        <f>9051+811</f>
        <v>9862</v>
      </c>
      <c r="G57" s="56">
        <f>F57</f>
        <v>9862</v>
      </c>
    </row>
    <row r="58" spans="2:7" ht="13">
      <c r="B58" s="60" t="s">
        <v>46</v>
      </c>
      <c r="C58" s="60" t="s">
        <v>47</v>
      </c>
      <c r="D58" s="60" t="str">
        <f t="shared" si="10"/>
        <v>EUR million</v>
      </c>
      <c r="E58" s="61">
        <f>E54-E55-E56-E57</f>
        <v>24314.600304114996</v>
      </c>
      <c r="F58" s="61">
        <f>F54-F55-F56-F57</f>
        <v>33884.500380143741</v>
      </c>
      <c r="G58" s="61">
        <f>G54-G55-G56-G57</f>
        <v>43454.400456172487</v>
      </c>
    </row>
    <row r="60" spans="2:7" ht="15.5">
      <c r="B60" s="22" t="s">
        <v>48</v>
      </c>
      <c r="C60" s="46"/>
      <c r="D60" s="47"/>
      <c r="E60" s="46"/>
      <c r="F60" s="48"/>
      <c r="G60" s="46"/>
    </row>
    <row r="61" spans="2:7" ht="13">
      <c r="B61" s="62" t="s">
        <v>31</v>
      </c>
      <c r="C61" s="62" t="s">
        <v>32</v>
      </c>
      <c r="D61" s="62" t="s">
        <v>33</v>
      </c>
      <c r="E61" s="63" t="s">
        <v>16</v>
      </c>
      <c r="F61" s="63" t="s">
        <v>17</v>
      </c>
      <c r="G61" s="63" t="s">
        <v>18</v>
      </c>
    </row>
    <row r="62" spans="2:7" s="12" customFormat="1">
      <c r="B62" s="64" t="s">
        <v>49</v>
      </c>
      <c r="C62" s="64" t="s">
        <v>50</v>
      </c>
      <c r="D62" s="64" t="s">
        <v>51</v>
      </c>
      <c r="E62" s="65">
        <f>F62</f>
        <v>1946.2359570000001</v>
      </c>
      <c r="F62" s="83">
        <f>1537.29419+408.941767</f>
        <v>1946.2359570000001</v>
      </c>
      <c r="G62" s="65">
        <f>F62</f>
        <v>1946.2359570000001</v>
      </c>
    </row>
    <row r="63" spans="2:7" s="12" customFormat="1">
      <c r="B63" s="64" t="s">
        <v>52</v>
      </c>
      <c r="C63" s="64" t="s">
        <v>53</v>
      </c>
      <c r="D63" s="64" t="str">
        <f>$D$6&amp;"/Aktie"</f>
        <v>EUR/Aktie</v>
      </c>
      <c r="E63" s="66">
        <f>E58/E62</f>
        <v>12.493141038044749</v>
      </c>
      <c r="F63" s="66">
        <f>F58/F62</f>
        <v>17.410273537631358</v>
      </c>
      <c r="G63" s="66">
        <f>G58/G62</f>
        <v>22.327406037217965</v>
      </c>
    </row>
    <row r="64" spans="2:7" s="12" customFormat="1" ht="13">
      <c r="B64" s="64" t="s">
        <v>54</v>
      </c>
      <c r="C64" s="64" t="s">
        <v>55</v>
      </c>
      <c r="D64" s="64" t="s">
        <v>56</v>
      </c>
      <c r="E64" s="67">
        <f>(E63-$F$6)/$F$6</f>
        <v>7.5113740358668402E-3</v>
      </c>
      <c r="F64" s="67">
        <f>(F63-$F$6)/F63</f>
        <v>0.28777684203536058</v>
      </c>
      <c r="G64" s="67">
        <f>(G63-$F$6)/G63</f>
        <v>0.44462872313379298</v>
      </c>
    </row>
    <row r="65" spans="2:7" ht="15.5">
      <c r="B65" s="1"/>
      <c r="C65" s="1"/>
      <c r="D65" s="1"/>
      <c r="E65" s="1"/>
      <c r="F65" s="68"/>
      <c r="G65" s="1"/>
    </row>
    <row r="66" spans="2:7" ht="15.5">
      <c r="B66" s="22" t="s">
        <v>57</v>
      </c>
      <c r="C66" s="46"/>
      <c r="D66" s="47"/>
      <c r="E66" s="46"/>
      <c r="F66" s="48"/>
      <c r="G66" s="46"/>
    </row>
    <row r="67" spans="2:7">
      <c r="B67" s="69" t="s">
        <v>31</v>
      </c>
      <c r="C67" s="69" t="s">
        <v>32</v>
      </c>
      <c r="D67" s="69" t="s">
        <v>33</v>
      </c>
      <c r="E67" s="70" t="s">
        <v>16</v>
      </c>
      <c r="F67" s="70" t="s">
        <v>17</v>
      </c>
      <c r="G67" s="70" t="s">
        <v>18</v>
      </c>
    </row>
    <row r="68" spans="2:7">
      <c r="B68" s="64" t="s">
        <v>58</v>
      </c>
      <c r="C68" s="64" t="s">
        <v>59</v>
      </c>
      <c r="D68" s="64" t="s">
        <v>60</v>
      </c>
      <c r="E68" s="71">
        <f>$K$6</f>
        <v>1</v>
      </c>
      <c r="F68" s="71">
        <f t="shared" ref="F68:G68" si="11">$K$6</f>
        <v>1</v>
      </c>
      <c r="G68" s="71">
        <f t="shared" si="11"/>
        <v>1</v>
      </c>
    </row>
    <row r="69" spans="2:7">
      <c r="B69" s="64" t="s">
        <v>61</v>
      </c>
      <c r="C69" s="64" t="s">
        <v>62</v>
      </c>
      <c r="D69" s="64" t="s">
        <v>63</v>
      </c>
      <c r="E69" s="66">
        <f>E63/E68</f>
        <v>12.493141038044749</v>
      </c>
      <c r="F69" s="66">
        <f>F63/F68</f>
        <v>17.410273537631358</v>
      </c>
      <c r="G69" s="66">
        <f>G63/G68</f>
        <v>22.327406037217965</v>
      </c>
    </row>
    <row r="70" spans="2:7">
      <c r="B70" s="64" t="s">
        <v>54</v>
      </c>
      <c r="C70" s="64" t="s">
        <v>55</v>
      </c>
      <c r="D70" s="64" t="s">
        <v>56</v>
      </c>
      <c r="E70" s="72">
        <f>E64</f>
        <v>7.5113740358668402E-3</v>
      </c>
      <c r="F70" s="72">
        <f>F64</f>
        <v>0.28777684203536058</v>
      </c>
      <c r="G70" s="72">
        <f>G64</f>
        <v>0.44462872313379298</v>
      </c>
    </row>
    <row r="72" spans="2:7">
      <c r="E72" s="73"/>
      <c r="F72" s="84"/>
      <c r="G72" s="73"/>
    </row>
    <row r="73" spans="2:7">
      <c r="F73" s="85"/>
    </row>
    <row r="74" spans="2:7">
      <c r="F74" s="85"/>
    </row>
  </sheetData>
  <mergeCells count="3">
    <mergeCell ref="P11:R11"/>
    <mergeCell ref="L11:O11"/>
    <mergeCell ref="S11:U11"/>
  </mergeCells>
  <conditionalFormatting sqref="G6">
    <cfRule type="cellIs" dxfId="8" priority="7" operator="lessThan">
      <formula>0.15</formula>
    </cfRule>
    <cfRule type="cellIs" dxfId="7" priority="8" operator="between">
      <formula>0.15</formula>
      <formula>0.2495</formula>
    </cfRule>
    <cfRule type="cellIs" dxfId="6" priority="9" operator="greaterThanOrEqual">
      <formula>0.25</formula>
    </cfRule>
  </conditionalFormatting>
  <conditionalFormatting sqref="E64:G64">
    <cfRule type="cellIs" dxfId="5" priority="4" operator="lessThan">
      <formula>0.15</formula>
    </cfRule>
    <cfRule type="cellIs" dxfId="4" priority="5" operator="between">
      <formula>0.15</formula>
      <formula>0.2495</formula>
    </cfRule>
    <cfRule type="cellIs" dxfId="3" priority="6" operator="greaterThanOrEqual">
      <formula>0.25</formula>
    </cfRule>
  </conditionalFormatting>
  <conditionalFormatting sqref="E70:G70">
    <cfRule type="cellIs" dxfId="2" priority="1" operator="lessThan">
      <formula>0.15</formula>
    </cfRule>
    <cfRule type="cellIs" dxfId="1" priority="2" operator="between">
      <formula>0.15</formula>
      <formula>0.2495</formula>
    </cfRule>
    <cfRule type="cellIs" dxfId="0" priority="3" operator="greaterThanOrEqual">
      <formula>0.25</formula>
    </cfRule>
  </conditionalFormatting>
  <pageMargins left="0.7" right="0.7" top="0.75" bottom="0.75" header="0.3" footer="0.3"/>
  <pageSetup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SOTP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Kalthoff</dc:creator>
  <cp:lastModifiedBy>Axel Kalthoff</cp:lastModifiedBy>
  <dcterms:created xsi:type="dcterms:W3CDTF">2017-08-26T05:03:12Z</dcterms:created>
  <dcterms:modified xsi:type="dcterms:W3CDTF">2017-09-09T07:01:49Z</dcterms:modified>
</cp:coreProperties>
</file>